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jones\Dropbox (DataRay Inc.)\Technical\Loren\Documents\New Spreadsheets For Website\"/>
    </mc:Choice>
  </mc:AlternateContent>
  <xr:revisionPtr revIDLastSave="0" documentId="13_ncr:1_{23AC6173-0CB9-4739-89DE-165D733A0608}" xr6:coauthVersionLast="43" xr6:coauthVersionMax="43" xr10:uidLastSave="{00000000-0000-0000-0000-000000000000}"/>
  <bookViews>
    <workbookView xWindow="-110" yWindow="-110" windowWidth="38620" windowHeight="21220" xr2:uid="{8C225F06-A431-4629-B0C6-5A7C52FDC1E9}"/>
  </bookViews>
  <sheets>
    <sheet name="BeamMap2 Series Choice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9" i="1"/>
  <c r="O10" i="1"/>
  <c r="O11" i="1"/>
  <c r="O12" i="1"/>
  <c r="O8" i="1"/>
  <c r="O4" i="1"/>
  <c r="O3" i="1"/>
  <c r="O2" i="1"/>
  <c r="F16" i="2" l="1"/>
  <c r="F26" i="2" l="1"/>
  <c r="F9" i="2" l="1"/>
  <c r="O7" i="1" s="1"/>
  <c r="F10" i="2" l="1"/>
  <c r="O6" i="1" s="1"/>
  <c r="J3" i="1" l="1"/>
  <c r="G3" i="1" l="1"/>
  <c r="M2" i="1"/>
  <c r="L2" i="1"/>
  <c r="F15" i="1" s="1"/>
  <c r="F35" i="2"/>
  <c r="F5" i="2" l="1"/>
  <c r="E7" i="2"/>
  <c r="F32" i="2" l="1"/>
  <c r="F23" i="2" s="1"/>
  <c r="G4" i="1"/>
  <c r="J5" i="1" l="1"/>
  <c r="G5" i="1" s="1"/>
  <c r="F29" i="2" l="1"/>
  <c r="F7" i="1"/>
  <c r="F4" i="2"/>
  <c r="F3" i="2"/>
  <c r="F2" i="2"/>
  <c r="E3" i="2"/>
  <c r="E4" i="2"/>
  <c r="E5" i="2"/>
  <c r="E6" i="2"/>
  <c r="E2" i="2"/>
  <c r="J2" i="2"/>
  <c r="N2" i="2" l="1"/>
  <c r="O2" i="2" s="1"/>
  <c r="Q2" i="2"/>
  <c r="G6" i="1"/>
  <c r="J3" i="2"/>
  <c r="Q3" i="2" l="1"/>
  <c r="N3" i="2"/>
  <c r="F13" i="2"/>
  <c r="F20" i="2"/>
  <c r="O5" i="1" s="1"/>
  <c r="K2" i="2"/>
  <c r="M2" i="2" s="1"/>
  <c r="G9" i="2"/>
  <c r="F14" i="1" s="1"/>
  <c r="G10" i="2"/>
  <c r="K3" i="2"/>
  <c r="M3" i="2" s="1"/>
  <c r="S2" i="2"/>
  <c r="R2" i="2"/>
  <c r="P2" i="2"/>
  <c r="J4" i="2"/>
  <c r="I6" i="1" l="1"/>
  <c r="F13" i="1"/>
  <c r="F11" i="1" s="1"/>
  <c r="N4" i="2"/>
  <c r="Q4" i="2"/>
  <c r="O3" i="2"/>
  <c r="P3" i="2"/>
  <c r="R3" i="2"/>
  <c r="S3" i="2"/>
  <c r="J5" i="2"/>
  <c r="K4" i="2"/>
  <c r="L4" i="2" s="1"/>
  <c r="L3" i="2"/>
  <c r="L2" i="2"/>
  <c r="Q5" i="2" l="1"/>
  <c r="N5" i="2"/>
  <c r="O4" i="2"/>
  <c r="P4" i="2"/>
  <c r="R4" i="2"/>
  <c r="S4" i="2"/>
  <c r="M4" i="2"/>
  <c r="J6" i="2"/>
  <c r="K5" i="2"/>
  <c r="Q6" i="2" l="1"/>
  <c r="N6" i="2"/>
  <c r="O5" i="2"/>
  <c r="P5" i="2"/>
  <c r="R5" i="2"/>
  <c r="S5" i="2"/>
  <c r="J7" i="2"/>
  <c r="K6" i="2"/>
  <c r="M5" i="2"/>
  <c r="L5" i="2"/>
  <c r="N7" i="2" l="1"/>
  <c r="Q7" i="2"/>
  <c r="O6" i="2"/>
  <c r="P6" i="2"/>
  <c r="R6" i="2"/>
  <c r="S6" i="2"/>
  <c r="J8" i="2"/>
  <c r="K7" i="2"/>
  <c r="L6" i="2"/>
  <c r="M6" i="2"/>
  <c r="Q8" i="2" l="1"/>
  <c r="N8" i="2"/>
  <c r="O7" i="2"/>
  <c r="P7" i="2"/>
  <c r="R7" i="2"/>
  <c r="S7" i="2"/>
  <c r="J9" i="2"/>
  <c r="K8" i="2"/>
  <c r="L7" i="2"/>
  <c r="M7" i="2"/>
  <c r="Q9" i="2" l="1"/>
  <c r="N9" i="2"/>
  <c r="O8" i="2"/>
  <c r="P8" i="2"/>
  <c r="R8" i="2"/>
  <c r="S8" i="2"/>
  <c r="L8" i="2"/>
  <c r="M8" i="2"/>
  <c r="J10" i="2"/>
  <c r="K9" i="2"/>
  <c r="Q10" i="2" l="1"/>
  <c r="N10" i="2"/>
  <c r="R9" i="2"/>
  <c r="S9" i="2"/>
  <c r="O9" i="2"/>
  <c r="P9" i="2"/>
  <c r="M9" i="2"/>
  <c r="L9" i="2"/>
  <c r="J11" i="2"/>
  <c r="K10" i="2"/>
  <c r="Q11" i="2" l="1"/>
  <c r="N11" i="2"/>
  <c r="O10" i="2"/>
  <c r="P10" i="2"/>
  <c r="S10" i="2"/>
  <c r="R10" i="2"/>
  <c r="L10" i="2"/>
  <c r="M10" i="2"/>
  <c r="J12" i="2"/>
  <c r="K11" i="2"/>
  <c r="Q12" i="2" l="1"/>
  <c r="N12" i="2"/>
  <c r="O11" i="2"/>
  <c r="P11" i="2"/>
  <c r="R11" i="2"/>
  <c r="S11" i="2"/>
  <c r="L11" i="2"/>
  <c r="M11" i="2"/>
  <c r="J13" i="2"/>
  <c r="K12" i="2"/>
  <c r="Q13" i="2" l="1"/>
  <c r="N13" i="2"/>
  <c r="O12" i="2"/>
  <c r="P12" i="2"/>
  <c r="R12" i="2"/>
  <c r="S12" i="2"/>
  <c r="M12" i="2"/>
  <c r="L12" i="2"/>
  <c r="J14" i="2"/>
  <c r="K13" i="2"/>
  <c r="Q14" i="2" l="1"/>
  <c r="N14" i="2"/>
  <c r="R13" i="2"/>
  <c r="S13" i="2"/>
  <c r="O13" i="2"/>
  <c r="P13" i="2"/>
  <c r="M13" i="2"/>
  <c r="L13" i="2"/>
  <c r="J15" i="2"/>
  <c r="K14" i="2"/>
  <c r="N15" i="2" l="1"/>
  <c r="Q15" i="2"/>
  <c r="P14" i="2"/>
  <c r="O14" i="2"/>
  <c r="R14" i="2"/>
  <c r="S14" i="2"/>
  <c r="M14" i="2"/>
  <c r="L14" i="2"/>
  <c r="J16" i="2"/>
  <c r="K15" i="2"/>
  <c r="N16" i="2" l="1"/>
  <c r="Q16" i="2"/>
  <c r="R15" i="2"/>
  <c r="S15" i="2"/>
  <c r="O15" i="2"/>
  <c r="P15" i="2"/>
  <c r="L15" i="2"/>
  <c r="M15" i="2"/>
  <c r="J17" i="2"/>
  <c r="K16" i="2"/>
  <c r="Q17" i="2" l="1"/>
  <c r="N17" i="2"/>
  <c r="S16" i="2"/>
  <c r="R16" i="2"/>
  <c r="P16" i="2"/>
  <c r="O16" i="2"/>
  <c r="M16" i="2"/>
  <c r="L16" i="2"/>
  <c r="J18" i="2"/>
  <c r="K17" i="2"/>
  <c r="Q18" i="2" l="1"/>
  <c r="N18" i="2"/>
  <c r="R17" i="2"/>
  <c r="S17" i="2"/>
  <c r="O17" i="2"/>
  <c r="P17" i="2"/>
  <c r="M17" i="2"/>
  <c r="L17" i="2"/>
  <c r="J19" i="2"/>
  <c r="K18" i="2"/>
  <c r="Q19" i="2" l="1"/>
  <c r="N19" i="2"/>
  <c r="R18" i="2"/>
  <c r="S18" i="2"/>
  <c r="O18" i="2"/>
  <c r="P18" i="2"/>
  <c r="M18" i="2"/>
  <c r="L18" i="2"/>
  <c r="J20" i="2"/>
  <c r="K19" i="2"/>
  <c r="Q20" i="2" l="1"/>
  <c r="N20" i="2"/>
  <c r="O19" i="2"/>
  <c r="P19" i="2"/>
  <c r="R19" i="2"/>
  <c r="S19" i="2"/>
  <c r="L19" i="2"/>
  <c r="M19" i="2"/>
  <c r="J21" i="2"/>
  <c r="K20" i="2"/>
  <c r="Q21" i="2" l="1"/>
  <c r="N21" i="2"/>
  <c r="R20" i="2"/>
  <c r="S20" i="2"/>
  <c r="P20" i="2"/>
  <c r="O20" i="2"/>
  <c r="M20" i="2"/>
  <c r="L20" i="2"/>
  <c r="J22" i="2"/>
  <c r="K21" i="2"/>
  <c r="Q22" i="2" l="1"/>
  <c r="N22" i="2"/>
  <c r="O21" i="2"/>
  <c r="P21" i="2"/>
  <c r="R21" i="2"/>
  <c r="S21" i="2"/>
  <c r="M21" i="2"/>
  <c r="L21" i="2"/>
  <c r="J23" i="2"/>
  <c r="K22" i="2"/>
  <c r="N23" i="2" l="1"/>
  <c r="Q23" i="2"/>
  <c r="P22" i="2"/>
  <c r="O22" i="2"/>
  <c r="R22" i="2"/>
  <c r="S22" i="2"/>
  <c r="M22" i="2"/>
  <c r="L22" i="2"/>
  <c r="J24" i="2"/>
  <c r="K23" i="2"/>
  <c r="Q24" i="2" l="1"/>
  <c r="N24" i="2"/>
  <c r="O23" i="2"/>
  <c r="P23" i="2"/>
  <c r="R23" i="2"/>
  <c r="S23" i="2"/>
  <c r="M23" i="2"/>
  <c r="L23" i="2"/>
  <c r="J25" i="2"/>
  <c r="K24" i="2"/>
  <c r="Q25" i="2" l="1"/>
  <c r="N25" i="2"/>
  <c r="O24" i="2"/>
  <c r="P24" i="2"/>
  <c r="R24" i="2"/>
  <c r="S24" i="2"/>
  <c r="M24" i="2"/>
  <c r="L24" i="2"/>
  <c r="J26" i="2"/>
  <c r="K25" i="2"/>
  <c r="Q26" i="2" l="1"/>
  <c r="N26" i="2"/>
  <c r="R25" i="2"/>
  <c r="S25" i="2"/>
  <c r="O25" i="2"/>
  <c r="P25" i="2"/>
  <c r="L25" i="2"/>
  <c r="M25" i="2"/>
  <c r="J27" i="2"/>
  <c r="K26" i="2"/>
  <c r="Q27" i="2" l="1"/>
  <c r="N27" i="2"/>
  <c r="R26" i="2"/>
  <c r="S26" i="2"/>
  <c r="O26" i="2"/>
  <c r="P26" i="2"/>
  <c r="L26" i="2"/>
  <c r="M26" i="2"/>
  <c r="J28" i="2"/>
  <c r="K27" i="2"/>
  <c r="Q28" i="2" l="1"/>
  <c r="N28" i="2"/>
  <c r="R27" i="2"/>
  <c r="S27" i="2"/>
  <c r="O27" i="2"/>
  <c r="P27" i="2"/>
  <c r="M27" i="2"/>
  <c r="L27" i="2"/>
  <c r="J29" i="2"/>
  <c r="K28" i="2"/>
  <c r="Q29" i="2" l="1"/>
  <c r="N29" i="2"/>
  <c r="O28" i="2"/>
  <c r="P28" i="2"/>
  <c r="R28" i="2"/>
  <c r="S28" i="2"/>
  <c r="L28" i="2"/>
  <c r="M28" i="2"/>
  <c r="J30" i="2"/>
  <c r="K29" i="2"/>
  <c r="Q30" i="2" l="1"/>
  <c r="N30" i="2"/>
  <c r="O29" i="2"/>
  <c r="P29" i="2"/>
  <c r="R29" i="2"/>
  <c r="S29" i="2"/>
  <c r="M29" i="2"/>
  <c r="L29" i="2"/>
  <c r="J31" i="2"/>
  <c r="K30" i="2"/>
  <c r="Q31" i="2" l="1"/>
  <c r="N31" i="2"/>
  <c r="R30" i="2"/>
  <c r="S30" i="2"/>
  <c r="O30" i="2"/>
  <c r="P30" i="2"/>
  <c r="L30" i="2"/>
  <c r="M30" i="2"/>
  <c r="J32" i="2"/>
  <c r="K31" i="2"/>
  <c r="Q32" i="2" l="1"/>
  <c r="N32" i="2"/>
  <c r="R31" i="2"/>
  <c r="S31" i="2"/>
  <c r="O31" i="2"/>
  <c r="P31" i="2"/>
  <c r="M31" i="2"/>
  <c r="L31" i="2"/>
  <c r="J33" i="2"/>
  <c r="K32" i="2"/>
  <c r="N33" i="2" l="1"/>
  <c r="Q33" i="2"/>
  <c r="S32" i="2"/>
  <c r="R32" i="2"/>
  <c r="O32" i="2"/>
  <c r="P32" i="2"/>
  <c r="M32" i="2"/>
  <c r="L32" i="2"/>
  <c r="J34" i="2"/>
  <c r="K33" i="2"/>
  <c r="Q34" i="2" l="1"/>
  <c r="N34" i="2"/>
  <c r="R33" i="2"/>
  <c r="S33" i="2"/>
  <c r="O33" i="2"/>
  <c r="P33" i="2"/>
  <c r="L33" i="2"/>
  <c r="M33" i="2"/>
  <c r="J35" i="2"/>
  <c r="K34" i="2"/>
  <c r="N35" i="2" l="1"/>
  <c r="Q35" i="2"/>
  <c r="O34" i="2"/>
  <c r="P34" i="2"/>
  <c r="R34" i="2"/>
  <c r="S34" i="2"/>
  <c r="L34" i="2"/>
  <c r="M34" i="2"/>
  <c r="J36" i="2"/>
  <c r="K35" i="2"/>
  <c r="Q36" i="2" l="1"/>
  <c r="N36" i="2"/>
  <c r="O35" i="2"/>
  <c r="P35" i="2"/>
  <c r="R35" i="2"/>
  <c r="S35" i="2"/>
  <c r="M35" i="2"/>
  <c r="L35" i="2"/>
  <c r="J37" i="2"/>
  <c r="K36" i="2"/>
  <c r="Q37" i="2" l="1"/>
  <c r="N37" i="2"/>
  <c r="R36" i="2"/>
  <c r="S36" i="2"/>
  <c r="O36" i="2"/>
  <c r="P36" i="2"/>
  <c r="L36" i="2"/>
  <c r="M36" i="2"/>
  <c r="J38" i="2"/>
  <c r="K37" i="2"/>
  <c r="N38" i="2" l="1"/>
  <c r="Q38" i="2"/>
  <c r="O37" i="2"/>
  <c r="P37" i="2"/>
  <c r="R37" i="2"/>
  <c r="S37" i="2"/>
  <c r="M37" i="2"/>
  <c r="L37" i="2"/>
  <c r="J39" i="2"/>
  <c r="K38" i="2"/>
  <c r="Q39" i="2" l="1"/>
  <c r="N39" i="2"/>
  <c r="R38" i="2"/>
  <c r="S38" i="2"/>
  <c r="O38" i="2"/>
  <c r="P38" i="2"/>
  <c r="L38" i="2"/>
  <c r="M38" i="2"/>
  <c r="J40" i="2"/>
  <c r="K39" i="2"/>
  <c r="Q40" i="2" l="1"/>
  <c r="N40" i="2"/>
  <c r="R39" i="2"/>
  <c r="S39" i="2"/>
  <c r="O39" i="2"/>
  <c r="P39" i="2"/>
  <c r="L39" i="2"/>
  <c r="M39" i="2"/>
  <c r="J41" i="2"/>
  <c r="K40" i="2"/>
  <c r="Q41" i="2" l="1"/>
  <c r="N41" i="2"/>
  <c r="R40" i="2"/>
  <c r="S40" i="2"/>
  <c r="O40" i="2"/>
  <c r="P40" i="2"/>
  <c r="L40" i="2"/>
  <c r="M40" i="2"/>
  <c r="J42" i="2"/>
  <c r="K41" i="2"/>
  <c r="N42" i="2" l="1"/>
  <c r="Q42" i="2"/>
  <c r="R41" i="2"/>
  <c r="S41" i="2"/>
  <c r="O41" i="2"/>
  <c r="P41" i="2"/>
  <c r="M41" i="2"/>
  <c r="L41" i="2"/>
  <c r="J43" i="2"/>
  <c r="K42" i="2"/>
  <c r="Q43" i="2" l="1"/>
  <c r="N43" i="2"/>
  <c r="R42" i="2"/>
  <c r="S42" i="2"/>
  <c r="O42" i="2"/>
  <c r="P42" i="2"/>
  <c r="L42" i="2"/>
  <c r="M42" i="2"/>
  <c r="J44" i="2"/>
  <c r="K43" i="2"/>
  <c r="N44" i="2" l="1"/>
  <c r="Q44" i="2"/>
  <c r="O43" i="2"/>
  <c r="P43" i="2"/>
  <c r="R43" i="2"/>
  <c r="S43" i="2"/>
  <c r="L43" i="2"/>
  <c r="M43" i="2"/>
  <c r="J45" i="2"/>
  <c r="K44" i="2"/>
  <c r="Q45" i="2" l="1"/>
  <c r="N45" i="2"/>
  <c r="R44" i="2"/>
  <c r="S44" i="2"/>
  <c r="P44" i="2"/>
  <c r="O44" i="2"/>
  <c r="L44" i="2"/>
  <c r="M44" i="2"/>
  <c r="J46" i="2"/>
  <c r="K45" i="2"/>
  <c r="Q46" i="2" l="1"/>
  <c r="N46" i="2"/>
  <c r="R45" i="2"/>
  <c r="S45" i="2"/>
  <c r="O45" i="2"/>
  <c r="P45" i="2"/>
  <c r="M45" i="2"/>
  <c r="L45" i="2"/>
  <c r="J47" i="2"/>
  <c r="K46" i="2"/>
  <c r="Q47" i="2" l="1"/>
  <c r="N47" i="2"/>
  <c r="P46" i="2"/>
  <c r="O46" i="2"/>
  <c r="R46" i="2"/>
  <c r="S46" i="2"/>
  <c r="L46" i="2"/>
  <c r="M46" i="2"/>
  <c r="J48" i="2"/>
  <c r="K47" i="2"/>
  <c r="Q48" i="2" l="1"/>
  <c r="N48" i="2"/>
  <c r="R47" i="2"/>
  <c r="S47" i="2"/>
  <c r="O47" i="2"/>
  <c r="P47" i="2"/>
  <c r="M47" i="2"/>
  <c r="L47" i="2"/>
  <c r="J49" i="2"/>
  <c r="K48" i="2"/>
  <c r="Q49" i="2" l="1"/>
  <c r="N49" i="2"/>
  <c r="O48" i="2"/>
  <c r="P48" i="2"/>
  <c r="R48" i="2"/>
  <c r="S48" i="2"/>
  <c r="L48" i="2"/>
  <c r="M48" i="2"/>
  <c r="J50" i="2"/>
  <c r="K49" i="2"/>
  <c r="Q50" i="2" l="1"/>
  <c r="N50" i="2"/>
  <c r="R49" i="2"/>
  <c r="S49" i="2"/>
  <c r="O49" i="2"/>
  <c r="P49" i="2"/>
  <c r="L49" i="2"/>
  <c r="M49" i="2"/>
  <c r="J51" i="2"/>
  <c r="K50" i="2"/>
  <c r="Q51" i="2" l="1"/>
  <c r="N51" i="2"/>
  <c r="R50" i="2"/>
  <c r="S50" i="2"/>
  <c r="P50" i="2"/>
  <c r="O50" i="2"/>
  <c r="M50" i="2"/>
  <c r="L50" i="2"/>
  <c r="J52" i="2"/>
  <c r="K51" i="2"/>
  <c r="Q52" i="2" l="1"/>
  <c r="N52" i="2"/>
  <c r="O51" i="2"/>
  <c r="P51" i="2"/>
  <c r="R51" i="2"/>
  <c r="S51" i="2"/>
  <c r="L51" i="2"/>
  <c r="M51" i="2"/>
  <c r="J53" i="2"/>
  <c r="K52" i="2"/>
  <c r="Q53" i="2" l="1"/>
  <c r="N53" i="2"/>
  <c r="O52" i="2"/>
  <c r="P52" i="2"/>
  <c r="R52" i="2"/>
  <c r="S52" i="2"/>
  <c r="L52" i="2"/>
  <c r="M52" i="2"/>
  <c r="J54" i="2"/>
  <c r="K53" i="2"/>
  <c r="N54" i="2" l="1"/>
  <c r="Q54" i="2"/>
  <c r="O53" i="2"/>
  <c r="P53" i="2"/>
  <c r="R53" i="2"/>
  <c r="S53" i="2"/>
  <c r="L53" i="2"/>
  <c r="M53" i="2"/>
  <c r="J55" i="2"/>
  <c r="K54" i="2"/>
  <c r="N55" i="2" l="1"/>
  <c r="Q55" i="2"/>
  <c r="O54" i="2"/>
  <c r="P54" i="2"/>
  <c r="R54" i="2"/>
  <c r="S54" i="2"/>
  <c r="M54" i="2"/>
  <c r="L54" i="2"/>
  <c r="J56" i="2"/>
  <c r="K55" i="2"/>
  <c r="N56" i="2" l="1"/>
  <c r="Q56" i="2"/>
  <c r="O55" i="2"/>
  <c r="P55" i="2"/>
  <c r="R55" i="2"/>
  <c r="S55" i="2"/>
  <c r="L55" i="2"/>
  <c r="M55" i="2"/>
  <c r="J57" i="2"/>
  <c r="K56" i="2"/>
  <c r="Q57" i="2" l="1"/>
  <c r="N57" i="2"/>
  <c r="S56" i="2"/>
  <c r="R56" i="2"/>
  <c r="P56" i="2"/>
  <c r="O56" i="2"/>
  <c r="L56" i="2"/>
  <c r="M56" i="2"/>
  <c r="J58" i="2"/>
  <c r="K57" i="2"/>
  <c r="N58" i="2" l="1"/>
  <c r="Q58" i="2"/>
  <c r="O57" i="2"/>
  <c r="P57" i="2"/>
  <c r="R57" i="2"/>
  <c r="S57" i="2"/>
  <c r="M57" i="2"/>
  <c r="L57" i="2"/>
  <c r="J59" i="2"/>
  <c r="K58" i="2"/>
  <c r="Q59" i="2" l="1"/>
  <c r="N59" i="2"/>
  <c r="R58" i="2"/>
  <c r="S58" i="2"/>
  <c r="P58" i="2"/>
  <c r="O58" i="2"/>
  <c r="M58" i="2"/>
  <c r="L58" i="2"/>
  <c r="J60" i="2"/>
  <c r="K59" i="2"/>
  <c r="Q60" i="2" l="1"/>
  <c r="N60" i="2"/>
  <c r="O59" i="2"/>
  <c r="P59" i="2"/>
  <c r="R59" i="2"/>
  <c r="S59" i="2"/>
  <c r="M59" i="2"/>
  <c r="L59" i="2"/>
  <c r="J61" i="2"/>
  <c r="K60" i="2"/>
  <c r="Q61" i="2" l="1"/>
  <c r="N61" i="2"/>
  <c r="O60" i="2"/>
  <c r="P60" i="2"/>
  <c r="R60" i="2"/>
  <c r="S60" i="2"/>
  <c r="M60" i="2"/>
  <c r="L60" i="2"/>
  <c r="J62" i="2"/>
  <c r="K61" i="2"/>
  <c r="N62" i="2" l="1"/>
  <c r="Q62" i="2"/>
  <c r="R61" i="2"/>
  <c r="S61" i="2"/>
  <c r="O61" i="2"/>
  <c r="P61" i="2"/>
  <c r="L61" i="2"/>
  <c r="M61" i="2"/>
  <c r="K62" i="2"/>
  <c r="S62" i="2" l="1"/>
  <c r="R62" i="2"/>
  <c r="O62" i="2"/>
  <c r="P62" i="2"/>
  <c r="L62" i="2"/>
  <c r="M6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 Jones</author>
  </authors>
  <commentList>
    <comment ref="C3" authorId="0" shapeId="0" xr:uid="{AA470FF2-CA25-4912-943F-2305A85F4A61}">
      <text>
        <r>
          <rPr>
            <sz val="9"/>
            <color indexed="81"/>
            <rFont val="Tahoma"/>
            <family val="2"/>
          </rPr>
          <t>Wavelength in nm</t>
        </r>
      </text>
    </comment>
    <comment ref="G3" authorId="0" shapeId="0" xr:uid="{68EF9062-BC55-473C-A994-BE3806C7F482}">
      <text>
        <r>
          <rPr>
            <sz val="9"/>
            <color indexed="81"/>
            <rFont val="Tahoma"/>
            <family val="2"/>
          </rPr>
          <t>Full divergence angle in mrad of the far-field region of the input beam (at least several Rayleigh lengths from the waist).
The input beam is before any magnifying LensPlate2. If there is not a LensPlate2, the input and output are the same</t>
        </r>
      </text>
    </comment>
    <comment ref="C4" authorId="0" shapeId="0" xr:uid="{34A6A148-7014-4A37-8C53-9D2F7EBCD18B}">
      <text>
        <r>
          <rPr>
            <sz val="9"/>
            <color indexed="81"/>
            <rFont val="Tahoma"/>
            <family val="2"/>
          </rPr>
          <t>M2 Beam quality factor
M2=1 is perfect fundamental 
Gaussian.</t>
        </r>
      </text>
    </comment>
    <comment ref="C5" authorId="0" shapeId="0" xr:uid="{269C253A-CDDC-402F-97D0-7E2F1C6E2B31}">
      <text>
        <r>
          <rPr>
            <sz val="9"/>
            <color indexed="81"/>
            <rFont val="Tahoma"/>
            <family val="2"/>
          </rPr>
          <t xml:space="preserve">Input beam </t>
        </r>
        <r>
          <rPr>
            <i/>
            <sz val="9"/>
            <color indexed="81"/>
            <rFont val="Tahoma"/>
            <family val="2"/>
          </rPr>
          <t>waist</t>
        </r>
        <r>
          <rPr>
            <sz val="9"/>
            <color indexed="81"/>
            <rFont val="Tahoma"/>
            <family val="2"/>
          </rPr>
          <t xml:space="preserve"> 1/e^2 diameter in um</t>
        </r>
      </text>
    </comment>
    <comment ref="G5" authorId="0" shapeId="0" xr:uid="{6DEAF577-04CF-4029-BAB1-A05507B614B3}">
      <text>
        <r>
          <rPr>
            <sz val="9"/>
            <color indexed="81"/>
            <rFont val="Tahoma"/>
            <family val="2"/>
          </rPr>
          <t>Full divergence angle in mrad of the far-field region of the output beam (at least several Rayleigh lengths from the waist).</t>
        </r>
      </text>
    </comment>
    <comment ref="C6" authorId="0" shapeId="0" xr:uid="{81F05A0F-3BE5-482E-B516-96913DF07A74}">
      <text>
        <r>
          <rPr>
            <sz val="9"/>
            <color indexed="81"/>
            <rFont val="Tahoma"/>
            <family val="2"/>
          </rPr>
          <t>BeamMap2 slit spacing. This is fixed for each BeamMap2 model. The 5000 um option is non-standard and requires a larger puck</t>
        </r>
      </text>
    </comment>
    <comment ref="G6" authorId="0" shapeId="0" xr:uid="{E5E08DBD-CEEB-47FD-B19B-3423E63AB891}">
      <text>
        <r>
          <rPr>
            <sz val="9"/>
            <color indexed="81"/>
            <rFont val="Tahoma"/>
            <family val="2"/>
          </rPr>
          <t>Distance from the beam waist at which the diameter increases by sqrt(2)</t>
        </r>
      </text>
    </comment>
  </commentList>
</comments>
</file>

<file path=xl/sharedStrings.xml><?xml version="1.0" encoding="utf-8"?>
<sst xmlns="http://schemas.openxmlformats.org/spreadsheetml/2006/main" count="73" uniqueCount="64">
  <si>
    <t>nm</t>
  </si>
  <si>
    <t>mrad</t>
  </si>
  <si>
    <t>User Entered Values</t>
  </si>
  <si>
    <t>Calculated Values</t>
  </si>
  <si>
    <t>Output Waist Diameter: 2Wo'=</t>
  </si>
  <si>
    <t>Output Rayleigh Length: Zr'=</t>
  </si>
  <si>
    <t>um</t>
  </si>
  <si>
    <r>
      <t xml:space="preserve">Output Far-field Full Divergence: </t>
    </r>
    <r>
      <rPr>
        <sz val="11"/>
        <color theme="1"/>
        <rFont val="Calibri"/>
        <family val="2"/>
      </rPr>
      <t>ϴ'=</t>
    </r>
  </si>
  <si>
    <t>Count</t>
  </si>
  <si>
    <t>Distance from Waist</t>
  </si>
  <si>
    <t>Diameter</t>
  </si>
  <si>
    <t>Radius</t>
  </si>
  <si>
    <t>Slit Spacing: 'S' =</t>
  </si>
  <si>
    <t>Spacing</t>
  </si>
  <si>
    <t>LensPlate2 Magnification: M  =</t>
  </si>
  <si>
    <t>Estimated M2 =</t>
  </si>
  <si>
    <t>Wavelength: λ =</t>
  </si>
  <si>
    <t>Calculated Properties</t>
  </si>
  <si>
    <t>Upper Limit</t>
  </si>
  <si>
    <t>Lower Limit</t>
  </si>
  <si>
    <t>zR Limits (um)</t>
  </si>
  <si>
    <t>User Inputs</t>
  </si>
  <si>
    <t>Detector Option</t>
  </si>
  <si>
    <t>LP2</t>
  </si>
  <si>
    <t>Max diameter</t>
  </si>
  <si>
    <t>Min Diameter</t>
  </si>
  <si>
    <t>Fail zR Check?</t>
  </si>
  <si>
    <t>Notes/Recommendations</t>
  </si>
  <si>
    <t>Input Far-field Full Divergence: ϴ=</t>
  </si>
  <si>
    <t>Min NA for LP2 (to 1% clip)</t>
  </si>
  <si>
    <t>deg</t>
  </si>
  <si>
    <t>NA</t>
  </si>
  <si>
    <t>Blue colored cells are configurable.</t>
  </si>
  <si>
    <t>Both plots visualize the same information.</t>
  </si>
  <si>
    <t>Yes</t>
  </si>
  <si>
    <t>No</t>
  </si>
  <si>
    <t>Focusing Lens Focal Length: F =</t>
  </si>
  <si>
    <t xml:space="preserve">Accessory:  </t>
  </si>
  <si>
    <t>Reimaging LensPlate2</t>
  </si>
  <si>
    <t>Focusing LensPlate2</t>
  </si>
  <si>
    <t>None</t>
  </si>
  <si>
    <t>mm</t>
  </si>
  <si>
    <t>Mag</t>
  </si>
  <si>
    <t>Zr (mm)</t>
  </si>
  <si>
    <t>Estimated beamwaist to lens distance: s =</t>
  </si>
  <si>
    <t>Input Beamwaist Diameter: 2Wo =</t>
  </si>
  <si>
    <t>Spacing/Zr Ratio</t>
  </si>
  <si>
    <t>Notes: This spreadsheet is designed to select the appropriate BeamMap2 configuration for real-time M2 with Excel 2007 or later. Contact support@dataray.com for assistance.</t>
  </si>
  <si>
    <t>Excel 2007</t>
  </si>
  <si>
    <t>Z1</t>
  </si>
  <si>
    <t>Z2</t>
  </si>
  <si>
    <t>Z3</t>
  </si>
  <si>
    <t>F20</t>
  </si>
  <si>
    <t>F10</t>
  </si>
  <si>
    <t>F9</t>
  </si>
  <si>
    <t>E2</t>
  </si>
  <si>
    <t>E3</t>
  </si>
  <si>
    <t>E4</t>
  </si>
  <si>
    <t>E5</t>
  </si>
  <si>
    <t>E6</t>
  </si>
  <si>
    <t>E7</t>
  </si>
  <si>
    <t>V1</t>
  </si>
  <si>
    <t>V2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</si>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</sst>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3" xfId="0" applyFont="1" applyBorder="1"/>
    <xf numFmtId="0" fontId="0" fillId="0" borderId="4" xfId="0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0" fillId="0" borderId="6" xfId="0" applyBorder="1"/>
    <xf numFmtId="0" fontId="1" fillId="2" borderId="2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2" fontId="1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0" fontId="0" fillId="0" borderId="3" xfId="0" applyBorder="1"/>
    <xf numFmtId="0" fontId="0" fillId="0" borderId="13" xfId="0" applyBorder="1" applyAlignment="1">
      <alignment horizontal="right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0" borderId="0" xfId="0" applyAlignment="1">
      <alignment vertical="center"/>
    </xf>
    <xf numFmtId="0" fontId="4" fillId="0" borderId="0" xfId="0" quotePrefix="1" applyFont="1" applyAlignment="1">
      <alignment horizontal="center"/>
    </xf>
    <xf numFmtId="0" fontId="0" fillId="0" borderId="19" xfId="0" applyBorder="1" applyAlignment="1">
      <alignment horizontal="right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/>
    <xf numFmtId="9" fontId="0" fillId="0" borderId="0" xfId="1" applyFont="1"/>
    <xf numFmtId="2" fontId="4" fillId="0" borderId="0" xfId="0" applyNumberFormat="1" applyFont="1" applyAlignment="1">
      <alignment horizontal="center"/>
    </xf>
    <xf numFmtId="0" fontId="0" fillId="0" borderId="22" xfId="0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0" fontId="0" fillId="2" borderId="23" xfId="0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0" fillId="0" borderId="10" xfId="0" applyBorder="1" applyAlignment="1">
      <alignment horizontal="right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1" fillId="2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right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14" fillId="0" borderId="0" xfId="0" applyFont="1"/>
    <xf numFmtId="16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12">
    <dxf>
      <fill>
        <patternFill>
          <bgColor rgb="FFFF9999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  <vertical/>
        <horizontal/>
      </border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rgb="FFFF9999"/>
        </patternFill>
      </fill>
    </dxf>
    <dxf>
      <font>
        <b/>
        <i val="0"/>
      </font>
      <fill>
        <patternFill>
          <bgColor rgb="FFFF9999"/>
        </patternFill>
      </fill>
    </dxf>
    <dxf>
      <font>
        <color theme="0"/>
      </font>
      <fill>
        <patternFill patternType="none">
          <bgColor auto="1"/>
        </patternFill>
      </fill>
      <border>
        <left style="thin">
          <color theme="0" tint="-0.14993743705557422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bottom style="thin">
          <color theme="0" tint="-0.1499679555650502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99"/>
      <color rgb="FFFFCC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Beam Diameter Through</a:t>
            </a:r>
            <a:r>
              <a:rPr lang="en-US" sz="1400" baseline="0"/>
              <a:t> BeamMap2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xVal>
            <c:numRef>
              <c:f>Sheet2!$J$2:$J$62</c:f>
              <c:numCache>
                <c:formatCode>0.00</c:formatCode>
                <c:ptCount val="61"/>
                <c:pt idx="0">
                  <c:v>-100</c:v>
                </c:pt>
                <c:pt idx="1">
                  <c:v>-91.666666666666671</c:v>
                </c:pt>
                <c:pt idx="2">
                  <c:v>-83.333333333333343</c:v>
                </c:pt>
                <c:pt idx="3">
                  <c:v>-75.000000000000014</c:v>
                </c:pt>
                <c:pt idx="4">
                  <c:v>-66.666666666666686</c:v>
                </c:pt>
                <c:pt idx="5">
                  <c:v>-58.33333333333335</c:v>
                </c:pt>
                <c:pt idx="6">
                  <c:v>-50.000000000000014</c:v>
                </c:pt>
                <c:pt idx="7">
                  <c:v>-41.666666666666679</c:v>
                </c:pt>
                <c:pt idx="8">
                  <c:v>-33.333333333333343</c:v>
                </c:pt>
                <c:pt idx="9">
                  <c:v>-25.000000000000007</c:v>
                </c:pt>
                <c:pt idx="10">
                  <c:v>-16.666666666666671</c:v>
                </c:pt>
                <c:pt idx="11">
                  <c:v>-8.3333333333333375</c:v>
                </c:pt>
                <c:pt idx="12">
                  <c:v>0</c:v>
                </c:pt>
                <c:pt idx="13">
                  <c:v>8.3333333333333339</c:v>
                </c:pt>
                <c:pt idx="14">
                  <c:v>16.666666666666668</c:v>
                </c:pt>
                <c:pt idx="15">
                  <c:v>25</c:v>
                </c:pt>
                <c:pt idx="16">
                  <c:v>33.333333333333336</c:v>
                </c:pt>
                <c:pt idx="17">
                  <c:v>41.666666666666671</c:v>
                </c:pt>
                <c:pt idx="18">
                  <c:v>50.000000000000007</c:v>
                </c:pt>
                <c:pt idx="19">
                  <c:v>58.333333333333343</c:v>
                </c:pt>
                <c:pt idx="20">
                  <c:v>66.666666666666671</c:v>
                </c:pt>
                <c:pt idx="21">
                  <c:v>75</c:v>
                </c:pt>
                <c:pt idx="22">
                  <c:v>83.333333333333329</c:v>
                </c:pt>
                <c:pt idx="23">
                  <c:v>91.666666666666657</c:v>
                </c:pt>
                <c:pt idx="24">
                  <c:v>99.999999999999986</c:v>
                </c:pt>
                <c:pt idx="25">
                  <c:v>108.33333333333331</c:v>
                </c:pt>
                <c:pt idx="26">
                  <c:v>116.66666666666664</c:v>
                </c:pt>
                <c:pt idx="27">
                  <c:v>124.99999999999997</c:v>
                </c:pt>
                <c:pt idx="28">
                  <c:v>133.33333333333331</c:v>
                </c:pt>
                <c:pt idx="29">
                  <c:v>141.66666666666666</c:v>
                </c:pt>
                <c:pt idx="30">
                  <c:v>150</c:v>
                </c:pt>
                <c:pt idx="31">
                  <c:v>158.33333333333334</c:v>
                </c:pt>
                <c:pt idx="32">
                  <c:v>166.66666666666669</c:v>
                </c:pt>
                <c:pt idx="33">
                  <c:v>175.00000000000003</c:v>
                </c:pt>
                <c:pt idx="34">
                  <c:v>183.33333333333337</c:v>
                </c:pt>
                <c:pt idx="35">
                  <c:v>191.66666666666671</c:v>
                </c:pt>
                <c:pt idx="36">
                  <c:v>200.00000000000006</c:v>
                </c:pt>
                <c:pt idx="37">
                  <c:v>208.3333333333334</c:v>
                </c:pt>
                <c:pt idx="38">
                  <c:v>216.66666666666674</c:v>
                </c:pt>
                <c:pt idx="39">
                  <c:v>225.00000000000009</c:v>
                </c:pt>
                <c:pt idx="40">
                  <c:v>233.33333333333343</c:v>
                </c:pt>
                <c:pt idx="41">
                  <c:v>241.66666666666677</c:v>
                </c:pt>
                <c:pt idx="42">
                  <c:v>250.00000000000011</c:v>
                </c:pt>
                <c:pt idx="43">
                  <c:v>258.33333333333343</c:v>
                </c:pt>
                <c:pt idx="44">
                  <c:v>266.66666666666674</c:v>
                </c:pt>
                <c:pt idx="45">
                  <c:v>275.00000000000006</c:v>
                </c:pt>
                <c:pt idx="46">
                  <c:v>283.33333333333337</c:v>
                </c:pt>
                <c:pt idx="47">
                  <c:v>291.66666666666669</c:v>
                </c:pt>
                <c:pt idx="48">
                  <c:v>300</c:v>
                </c:pt>
                <c:pt idx="49">
                  <c:v>308.33333333333331</c:v>
                </c:pt>
                <c:pt idx="50">
                  <c:v>316.66666666666663</c:v>
                </c:pt>
                <c:pt idx="51">
                  <c:v>324.99999999999994</c:v>
                </c:pt>
                <c:pt idx="52">
                  <c:v>333.33333333333326</c:v>
                </c:pt>
                <c:pt idx="53">
                  <c:v>341.66666666666657</c:v>
                </c:pt>
                <c:pt idx="54">
                  <c:v>349.99999999999989</c:v>
                </c:pt>
                <c:pt idx="55">
                  <c:v>358.3333333333332</c:v>
                </c:pt>
                <c:pt idx="56">
                  <c:v>366.66666666666652</c:v>
                </c:pt>
                <c:pt idx="57">
                  <c:v>374.99999999999983</c:v>
                </c:pt>
                <c:pt idx="58">
                  <c:v>383.33333333333314</c:v>
                </c:pt>
                <c:pt idx="59">
                  <c:v>391.66666666666646</c:v>
                </c:pt>
                <c:pt idx="60">
                  <c:v>399.99999999999977</c:v>
                </c:pt>
              </c:numCache>
            </c:numRef>
          </c:xVal>
          <c:yVal>
            <c:numRef>
              <c:f>Sheet2!$K$2:$K$62</c:f>
              <c:numCache>
                <c:formatCode>General</c:formatCode>
                <c:ptCount val="61"/>
                <c:pt idx="0">
                  <c:v>13.761337248940226</c:v>
                </c:pt>
                <c:pt idx="1">
                  <c:v>13.23251014136927</c:v>
                </c:pt>
                <c:pt idx="2">
                  <c:v>12.730497144845112</c:v>
                </c:pt>
                <c:pt idx="3">
                  <c:v>12.25859297062582</c:v>
                </c:pt>
                <c:pt idx="4">
                  <c:v>11.820404258532875</c:v>
                </c:pt>
                <c:pt idx="5">
                  <c:v>11.419812748110438</c:v>
                </c:pt>
                <c:pt idx="6">
                  <c:v>11.06090415471391</c:v>
                </c:pt>
                <c:pt idx="7">
                  <c:v>10.747855106425998</c:v>
                </c:pt>
                <c:pt idx="8">
                  <c:v>10.484774161076887</c:v>
                </c:pt>
                <c:pt idx="9">
                  <c:v>10.275499996591011</c:v>
                </c:pt>
                <c:pt idx="10">
                  <c:v>10.123370105957619</c:v>
                </c:pt>
                <c:pt idx="11">
                  <c:v>10.030984775960388</c:v>
                </c:pt>
                <c:pt idx="12">
                  <c:v>10</c:v>
                </c:pt>
                <c:pt idx="13">
                  <c:v>10.030984775960388</c:v>
                </c:pt>
                <c:pt idx="14">
                  <c:v>10.123370105957619</c:v>
                </c:pt>
                <c:pt idx="15">
                  <c:v>10.275499996591011</c:v>
                </c:pt>
                <c:pt idx="16">
                  <c:v>10.484774161076887</c:v>
                </c:pt>
                <c:pt idx="17">
                  <c:v>10.747855106425998</c:v>
                </c:pt>
                <c:pt idx="18">
                  <c:v>11.06090415471391</c:v>
                </c:pt>
                <c:pt idx="19">
                  <c:v>11.419812748110438</c:v>
                </c:pt>
                <c:pt idx="20">
                  <c:v>11.820404258532875</c:v>
                </c:pt>
                <c:pt idx="21">
                  <c:v>12.25859297062582</c:v>
                </c:pt>
                <c:pt idx="22">
                  <c:v>12.730497144845112</c:v>
                </c:pt>
                <c:pt idx="23">
                  <c:v>13.23251014136927</c:v>
                </c:pt>
                <c:pt idx="24">
                  <c:v>13.761337248940224</c:v>
                </c:pt>
                <c:pt idx="25">
                  <c:v>14.314006855796777</c:v>
                </c:pt>
                <c:pt idx="26">
                  <c:v>14.887863943750382</c:v>
                </c:pt>
                <c:pt idx="27">
                  <c:v>15.480552461024978</c:v>
                </c:pt>
                <c:pt idx="28">
                  <c:v>16.089991527050856</c:v>
                </c:pt>
                <c:pt idx="29">
                  <c:v>16.714348965295915</c:v>
                </c:pt>
                <c:pt idx="30">
                  <c:v>17.352014478956239</c:v>
                </c:pt>
                <c:pt idx="31">
                  <c:v>18.001573897113094</c:v>
                </c:pt>
                <c:pt idx="32">
                  <c:v>18.661785290256617</c:v>
                </c:pt>
                <c:pt idx="33">
                  <c:v>19.331557330364031</c:v>
                </c:pt>
                <c:pt idx="34">
                  <c:v>20.009929999022049</c:v>
                </c:pt>
                <c:pt idx="35">
                  <c:v>20.696057582676751</c:v>
                </c:pt>
                <c:pt idx="36">
                  <c:v>21.38919380239188</c:v>
                </c:pt>
                <c:pt idx="37">
                  <c:v>22.08867888123201</c:v>
                </c:pt>
                <c:pt idx="38">
                  <c:v>22.793928337853238</c:v>
                </c:pt>
                <c:pt idx="39">
                  <c:v>23.50442329807926</c:v>
                </c:pt>
                <c:pt idx="40">
                  <c:v>24.219702129268462</c:v>
                </c:pt>
                <c:pt idx="41">
                  <c:v>24.939353220097544</c:v>
                </c:pt>
                <c:pt idx="42">
                  <c:v>25.663008747888206</c:v>
                </c:pt>
                <c:pt idx="43">
                  <c:v>26.390339294951879</c:v>
                </c:pt>
                <c:pt idx="44">
                  <c:v>27.121049193611118</c:v>
                </c:pt>
                <c:pt idx="45">
                  <c:v>27.854872496081637</c:v>
                </c:pt>
                <c:pt idx="46">
                  <c:v>28.591569480088964</c:v>
                </c:pt>
                <c:pt idx="47">
                  <c:v>29.330923613954646</c:v>
                </c:pt>
                <c:pt idx="48">
                  <c:v>30.072738916028715</c:v>
                </c:pt>
                <c:pt idx="49">
                  <c:v>30.816837652924605</c:v>
                </c:pt>
                <c:pt idx="50">
                  <c:v>31.56305832920653</c:v>
                </c:pt>
                <c:pt idx="51">
                  <c:v>32.311253928162152</c:v>
                </c:pt>
                <c:pt idx="52">
                  <c:v>33.061290369230186</c:v>
                </c:pt>
                <c:pt idx="53">
                  <c:v>33.813045152692609</c:v>
                </c:pt>
                <c:pt idx="54">
                  <c:v>34.5664061665167</c:v>
                </c:pt>
                <c:pt idx="55">
                  <c:v>35.321270633858525</c:v>
                </c:pt>
                <c:pt idx="56">
                  <c:v>36.077544182816098</c:v>
                </c:pt>
                <c:pt idx="57">
                  <c:v>36.83514002263216</c:v>
                </c:pt>
                <c:pt idx="58">
                  <c:v>37.593978212765471</c:v>
                </c:pt>
                <c:pt idx="59">
                  <c:v>38.353985013137169</c:v>
                </c:pt>
                <c:pt idx="60">
                  <c:v>39.115092305465865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E1-46CB-A7F0-E3FEB0BBC968}"/>
            </c:ext>
          </c:extLst>
        </c:ser>
        <c:ser>
          <c:idx val="0"/>
          <c:order val="1"/>
          <c:tx>
            <c:strRef>
              <c:f>Sheet2!$F$2</c:f>
              <c:strCache>
                <c:ptCount val="1"/>
                <c:pt idx="0">
                  <c:v>-100 μm Slit Plane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1"/>
            <c:plus>
              <c:numRef>
                <c:f>Sheet2!$K$2</c:f>
                <c:numCache>
                  <c:formatCode>General</c:formatCode>
                  <c:ptCount val="1"/>
                  <c:pt idx="0">
                    <c:v>13.761337248940226</c:v>
                  </c:pt>
                </c:numCache>
              </c:numRef>
            </c:plus>
            <c:minus>
              <c:numRef>
                <c:f>Sheet2!$M$2</c:f>
                <c:numCache>
                  <c:formatCode>General</c:formatCode>
                  <c:ptCount val="1"/>
                  <c:pt idx="0">
                    <c:v>6.880668624470113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Sheet2!$J$2</c:f>
              <c:numCache>
                <c:formatCode>0.00</c:formatCode>
                <c:ptCount val="1"/>
                <c:pt idx="0">
                  <c:v>-100</c:v>
                </c:pt>
              </c:numCache>
            </c:numRef>
          </c:xVal>
          <c:yVal>
            <c:numRef>
              <c:f>Sheet2!$E$1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E1-46CB-A7F0-E3FEB0BBC968}"/>
            </c:ext>
          </c:extLst>
        </c:ser>
        <c:ser>
          <c:idx val="3"/>
          <c:order val="2"/>
          <c:tx>
            <c:strRef>
              <c:f>Sheet2!$F$3</c:f>
              <c:strCache>
                <c:ptCount val="1"/>
                <c:pt idx="0">
                  <c:v>0 μm Slit Plane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1"/>
            <c:plus>
              <c:numRef>
                <c:f>Sheet2!$K$14</c:f>
                <c:numCache>
                  <c:formatCode>General</c:formatCode>
                  <c:ptCount val="1"/>
                  <c:pt idx="0">
                    <c:v>10</c:v>
                  </c:pt>
                </c:numCache>
              </c:numRef>
            </c:plus>
            <c:minus>
              <c:numRef>
                <c:f>Sheet2!$M$14</c:f>
                <c:numCache>
                  <c:formatCode>General</c:formatCode>
                  <c:ptCount val="1"/>
                  <c:pt idx="0">
                    <c:v>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Sheet2!$J$14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Sheet2!$E$1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E1-46CB-A7F0-E3FEB0BBC968}"/>
            </c:ext>
          </c:extLst>
        </c:ser>
        <c:ser>
          <c:idx val="4"/>
          <c:order val="3"/>
          <c:tx>
            <c:strRef>
              <c:f>Sheet2!$F$4</c:f>
              <c:strCache>
                <c:ptCount val="1"/>
                <c:pt idx="0">
                  <c:v>+100 μm Slit Plane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1"/>
            <c:plus>
              <c:numRef>
                <c:f>Sheet2!$K$26</c:f>
                <c:numCache>
                  <c:formatCode>General</c:formatCode>
                  <c:ptCount val="1"/>
                  <c:pt idx="0">
                    <c:v>13.761337248940224</c:v>
                  </c:pt>
                </c:numCache>
              </c:numRef>
            </c:plus>
            <c:minus>
              <c:numRef>
                <c:f>Sheet2!$M$26</c:f>
                <c:numCache>
                  <c:formatCode>General</c:formatCode>
                  <c:ptCount val="1"/>
                  <c:pt idx="0">
                    <c:v>6.8806686244701121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Sheet2!$J$26</c:f>
              <c:numCache>
                <c:formatCode>0.00</c:formatCode>
                <c:ptCount val="1"/>
                <c:pt idx="0">
                  <c:v>99.999999999999986</c:v>
                </c:pt>
              </c:numCache>
            </c:numRef>
          </c:xVal>
          <c:yVal>
            <c:numRef>
              <c:f>Sheet2!$E$1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CE1-46CB-A7F0-E3FEB0BBC968}"/>
            </c:ext>
          </c:extLst>
        </c:ser>
        <c:ser>
          <c:idx val="5"/>
          <c:order val="4"/>
          <c:tx>
            <c:strRef>
              <c:f>Sheet2!$F$5</c:f>
              <c:strCache>
                <c:ptCount val="1"/>
                <c:pt idx="0">
                  <c:v>+400 μm Slit Plane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55-41C9-8FC9-DAA6A17892F8}"/>
              </c:ext>
            </c:extLst>
          </c:dPt>
          <c:errBars>
            <c:errDir val="y"/>
            <c:errBarType val="plus"/>
            <c:errValType val="cust"/>
            <c:noEndCap val="1"/>
            <c:plus>
              <c:numRef>
                <c:f>Sheet2!$K$62</c:f>
                <c:numCache>
                  <c:formatCode>General</c:formatCode>
                  <c:ptCount val="1"/>
                  <c:pt idx="0">
                    <c:v>39.115092305465865</c:v>
                  </c:pt>
                </c:numCache>
              </c:numRef>
            </c:plus>
            <c:minus>
              <c:numRef>
                <c:f>Sheet2!$M$62</c:f>
                <c:numCache>
                  <c:formatCode>General</c:formatCode>
                  <c:ptCount val="1"/>
                  <c:pt idx="0">
                    <c:v>19.557546152732932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Sheet2!$J$62</c:f>
              <c:numCache>
                <c:formatCode>0.00</c:formatCode>
                <c:ptCount val="1"/>
                <c:pt idx="0">
                  <c:v>399.99999999999977</c:v>
                </c:pt>
              </c:numCache>
            </c:numRef>
          </c:xVal>
          <c:yVal>
            <c:numRef>
              <c:f>Sheet2!$E$1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CE1-46CB-A7F0-E3FEB0BBC968}"/>
            </c:ext>
          </c:extLst>
        </c:ser>
        <c:ser>
          <c:idx val="6"/>
          <c:order val="5"/>
          <c:tx>
            <c:v>Rayleigh Range Limits for M2</c:v>
          </c:tx>
          <c:spPr>
            <a:ln w="19050" cap="rnd">
              <a:solidFill>
                <a:schemeClr val="tx1">
                  <a:alpha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Sheet2!$J$8:$J$20</c:f>
              <c:numCache>
                <c:formatCode>0.00</c:formatCode>
                <c:ptCount val="13"/>
                <c:pt idx="0">
                  <c:v>-50.000000000000014</c:v>
                </c:pt>
                <c:pt idx="1">
                  <c:v>-41.666666666666679</c:v>
                </c:pt>
                <c:pt idx="2">
                  <c:v>-33.333333333333343</c:v>
                </c:pt>
                <c:pt idx="3">
                  <c:v>-25.000000000000007</c:v>
                </c:pt>
                <c:pt idx="4">
                  <c:v>-16.666666666666671</c:v>
                </c:pt>
                <c:pt idx="5">
                  <c:v>-8.3333333333333375</c:v>
                </c:pt>
                <c:pt idx="6">
                  <c:v>0</c:v>
                </c:pt>
                <c:pt idx="7">
                  <c:v>8.3333333333333339</c:v>
                </c:pt>
                <c:pt idx="8">
                  <c:v>16.666666666666668</c:v>
                </c:pt>
                <c:pt idx="9">
                  <c:v>25</c:v>
                </c:pt>
                <c:pt idx="10">
                  <c:v>33.333333333333336</c:v>
                </c:pt>
                <c:pt idx="11">
                  <c:v>41.666666666666671</c:v>
                </c:pt>
                <c:pt idx="12">
                  <c:v>50.000000000000007</c:v>
                </c:pt>
              </c:numCache>
            </c:numRef>
          </c:xVal>
          <c:yVal>
            <c:numRef>
              <c:f>Sheet2!$N$8:$N$20</c:f>
              <c:numCache>
                <c:formatCode>General</c:formatCode>
                <c:ptCount val="13"/>
                <c:pt idx="0">
                  <c:v>21.250000000000004</c:v>
                </c:pt>
                <c:pt idx="1">
                  <c:v>18.551027599569789</c:v>
                </c:pt>
                <c:pt idx="2">
                  <c:v>16.007810593582125</c:v>
                </c:pt>
                <c:pt idx="3">
                  <c:v>13.707320124663321</c:v>
                </c:pt>
                <c:pt idx="4">
                  <c:v>11.792476415070755</c:v>
                </c:pt>
                <c:pt idx="5">
                  <c:v>10.476909133900133</c:v>
                </c:pt>
                <c:pt idx="6">
                  <c:v>10</c:v>
                </c:pt>
                <c:pt idx="7">
                  <c:v>10.476909133900133</c:v>
                </c:pt>
                <c:pt idx="8">
                  <c:v>11.792476415070754</c:v>
                </c:pt>
                <c:pt idx="9">
                  <c:v>13.707320124663319</c:v>
                </c:pt>
                <c:pt idx="10">
                  <c:v>16.007810593582121</c:v>
                </c:pt>
                <c:pt idx="11">
                  <c:v>18.551027599569789</c:v>
                </c:pt>
                <c:pt idx="12">
                  <c:v>21.25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CE1-46CB-A7F0-E3FEB0BBC968}"/>
            </c:ext>
          </c:extLst>
        </c:ser>
        <c:ser>
          <c:idx val="9"/>
          <c:order val="6"/>
          <c:tx>
            <c:v>Lower Limit +</c:v>
          </c:tx>
          <c:spPr>
            <a:ln w="19050" cap="rnd">
              <a:solidFill>
                <a:schemeClr val="tx1">
                  <a:alpha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Sheet2!$J$2:$J$62</c:f>
              <c:numCache>
                <c:formatCode>0.00</c:formatCode>
                <c:ptCount val="61"/>
                <c:pt idx="0">
                  <c:v>-100</c:v>
                </c:pt>
                <c:pt idx="1">
                  <c:v>-91.666666666666671</c:v>
                </c:pt>
                <c:pt idx="2">
                  <c:v>-83.333333333333343</c:v>
                </c:pt>
                <c:pt idx="3">
                  <c:v>-75.000000000000014</c:v>
                </c:pt>
                <c:pt idx="4">
                  <c:v>-66.666666666666686</c:v>
                </c:pt>
                <c:pt idx="5">
                  <c:v>-58.33333333333335</c:v>
                </c:pt>
                <c:pt idx="6">
                  <c:v>-50.000000000000014</c:v>
                </c:pt>
                <c:pt idx="7">
                  <c:v>-41.666666666666679</c:v>
                </c:pt>
                <c:pt idx="8">
                  <c:v>-33.333333333333343</c:v>
                </c:pt>
                <c:pt idx="9">
                  <c:v>-25.000000000000007</c:v>
                </c:pt>
                <c:pt idx="10">
                  <c:v>-16.666666666666671</c:v>
                </c:pt>
                <c:pt idx="11">
                  <c:v>-8.3333333333333375</c:v>
                </c:pt>
                <c:pt idx="12">
                  <c:v>0</c:v>
                </c:pt>
                <c:pt idx="13">
                  <c:v>8.3333333333333339</c:v>
                </c:pt>
                <c:pt idx="14">
                  <c:v>16.666666666666668</c:v>
                </c:pt>
                <c:pt idx="15">
                  <c:v>25</c:v>
                </c:pt>
                <c:pt idx="16">
                  <c:v>33.333333333333336</c:v>
                </c:pt>
                <c:pt idx="17">
                  <c:v>41.666666666666671</c:v>
                </c:pt>
                <c:pt idx="18">
                  <c:v>50.000000000000007</c:v>
                </c:pt>
                <c:pt idx="19">
                  <c:v>58.333333333333343</c:v>
                </c:pt>
                <c:pt idx="20">
                  <c:v>66.666666666666671</c:v>
                </c:pt>
                <c:pt idx="21">
                  <c:v>75</c:v>
                </c:pt>
                <c:pt idx="22">
                  <c:v>83.333333333333329</c:v>
                </c:pt>
                <c:pt idx="23">
                  <c:v>91.666666666666657</c:v>
                </c:pt>
                <c:pt idx="24">
                  <c:v>99.999999999999986</c:v>
                </c:pt>
                <c:pt idx="25">
                  <c:v>108.33333333333331</c:v>
                </c:pt>
                <c:pt idx="26">
                  <c:v>116.66666666666664</c:v>
                </c:pt>
                <c:pt idx="27">
                  <c:v>124.99999999999997</c:v>
                </c:pt>
                <c:pt idx="28">
                  <c:v>133.33333333333331</c:v>
                </c:pt>
                <c:pt idx="29">
                  <c:v>141.66666666666666</c:v>
                </c:pt>
                <c:pt idx="30">
                  <c:v>150</c:v>
                </c:pt>
                <c:pt idx="31">
                  <c:v>158.33333333333334</c:v>
                </c:pt>
                <c:pt idx="32">
                  <c:v>166.66666666666669</c:v>
                </c:pt>
                <c:pt idx="33">
                  <c:v>175.00000000000003</c:v>
                </c:pt>
                <c:pt idx="34">
                  <c:v>183.33333333333337</c:v>
                </c:pt>
                <c:pt idx="35">
                  <c:v>191.66666666666671</c:v>
                </c:pt>
                <c:pt idx="36">
                  <c:v>200.00000000000006</c:v>
                </c:pt>
                <c:pt idx="37">
                  <c:v>208.3333333333334</c:v>
                </c:pt>
                <c:pt idx="38">
                  <c:v>216.66666666666674</c:v>
                </c:pt>
                <c:pt idx="39">
                  <c:v>225.00000000000009</c:v>
                </c:pt>
                <c:pt idx="40">
                  <c:v>233.33333333333343</c:v>
                </c:pt>
                <c:pt idx="41">
                  <c:v>241.66666666666677</c:v>
                </c:pt>
                <c:pt idx="42">
                  <c:v>250.00000000000011</c:v>
                </c:pt>
                <c:pt idx="43">
                  <c:v>258.33333333333343</c:v>
                </c:pt>
                <c:pt idx="44">
                  <c:v>266.66666666666674</c:v>
                </c:pt>
                <c:pt idx="45">
                  <c:v>275.00000000000006</c:v>
                </c:pt>
                <c:pt idx="46">
                  <c:v>283.33333333333337</c:v>
                </c:pt>
                <c:pt idx="47">
                  <c:v>291.66666666666669</c:v>
                </c:pt>
                <c:pt idx="48">
                  <c:v>300</c:v>
                </c:pt>
                <c:pt idx="49">
                  <c:v>308.33333333333331</c:v>
                </c:pt>
                <c:pt idx="50">
                  <c:v>316.66666666666663</c:v>
                </c:pt>
                <c:pt idx="51">
                  <c:v>324.99999999999994</c:v>
                </c:pt>
                <c:pt idx="52">
                  <c:v>333.33333333333326</c:v>
                </c:pt>
                <c:pt idx="53">
                  <c:v>341.66666666666657</c:v>
                </c:pt>
                <c:pt idx="54">
                  <c:v>349.99999999999989</c:v>
                </c:pt>
                <c:pt idx="55">
                  <c:v>358.3333333333332</c:v>
                </c:pt>
                <c:pt idx="56">
                  <c:v>366.66666666666652</c:v>
                </c:pt>
                <c:pt idx="57">
                  <c:v>374.99999999999983</c:v>
                </c:pt>
                <c:pt idx="58">
                  <c:v>383.33333333333314</c:v>
                </c:pt>
                <c:pt idx="59">
                  <c:v>391.66666666666646</c:v>
                </c:pt>
                <c:pt idx="60">
                  <c:v>399.99999999999977</c:v>
                </c:pt>
              </c:numCache>
            </c:numRef>
          </c:xVal>
          <c:yVal>
            <c:numRef>
              <c:f>Sheet2!$Q$2:$Q$62</c:f>
              <c:numCache>
                <c:formatCode>General</c:formatCode>
                <c:ptCount val="61"/>
                <c:pt idx="0">
                  <c:v>10.307764064044152</c:v>
                </c:pt>
                <c:pt idx="1">
                  <c:v>10.259226876870942</c:v>
                </c:pt>
                <c:pt idx="2">
                  <c:v>10.214708893442719</c:v>
                </c:pt>
                <c:pt idx="3">
                  <c:v>10.174262872562316</c:v>
                </c:pt>
                <c:pt idx="4">
                  <c:v>10.137937550497034</c:v>
                </c:pt>
                <c:pt idx="5">
                  <c:v>10.105777363029087</c:v>
                </c:pt>
                <c:pt idx="6">
                  <c:v>10.077822185373186</c:v>
                </c:pt>
                <c:pt idx="7">
                  <c:v>10.054107093344712</c:v>
                </c:pt>
                <c:pt idx="8">
                  <c:v>10.034662148993579</c:v>
                </c:pt>
                <c:pt idx="9">
                  <c:v>10.019512213675874</c:v>
                </c:pt>
                <c:pt idx="10">
                  <c:v>10.00867679122026</c:v>
                </c:pt>
                <c:pt idx="11">
                  <c:v>10.002169903464837</c:v>
                </c:pt>
                <c:pt idx="12">
                  <c:v>10</c:v>
                </c:pt>
                <c:pt idx="13">
                  <c:v>10.002169903464837</c:v>
                </c:pt>
                <c:pt idx="14">
                  <c:v>10.00867679122026</c:v>
                </c:pt>
                <c:pt idx="15">
                  <c:v>10.019512213675874</c:v>
                </c:pt>
                <c:pt idx="16">
                  <c:v>10.034662148993579</c:v>
                </c:pt>
                <c:pt idx="17">
                  <c:v>10.054107093344712</c:v>
                </c:pt>
                <c:pt idx="18">
                  <c:v>10.077822185373186</c:v>
                </c:pt>
                <c:pt idx="19">
                  <c:v>10.105777363029087</c:v>
                </c:pt>
                <c:pt idx="20">
                  <c:v>10.137937550497032</c:v>
                </c:pt>
                <c:pt idx="21">
                  <c:v>10.174262872562316</c:v>
                </c:pt>
                <c:pt idx="22">
                  <c:v>10.214708893442719</c:v>
                </c:pt>
                <c:pt idx="23">
                  <c:v>10.259226876870942</c:v>
                </c:pt>
                <c:pt idx="24">
                  <c:v>10.307764064044152</c:v>
                </c:pt>
                <c:pt idx="25">
                  <c:v>10.360263965963629</c:v>
                </c:pt>
                <c:pt idx="26">
                  <c:v>10.416666666666668</c:v>
                </c:pt>
                <c:pt idx="27">
                  <c:v>10.476909133900133</c:v>
                </c:pt>
                <c:pt idx="28">
                  <c:v>10.540925533894598</c:v>
                </c:pt>
                <c:pt idx="29">
                  <c:v>10.608647547061679</c:v>
                </c:pt>
                <c:pt idx="30">
                  <c:v>10.680004681646913</c:v>
                </c:pt>
                <c:pt idx="31">
                  <c:v>10.754924582616923</c:v>
                </c:pt>
                <c:pt idx="32">
                  <c:v>10.833333333333332</c:v>
                </c:pt>
                <c:pt idx="33">
                  <c:v>10.915155747858112</c:v>
                </c:pt>
                <c:pt idx="34">
                  <c:v>11.000315652036738</c:v>
                </c:pt>
                <c:pt idx="35">
                  <c:v>11.088736151809389</c:v>
                </c:pt>
                <c:pt idx="36">
                  <c:v>11.180339887498949</c:v>
                </c:pt>
                <c:pt idx="37">
                  <c:v>11.275049273112341</c:v>
                </c:pt>
                <c:pt idx="38">
                  <c:v>11.372786719963484</c:v>
                </c:pt>
                <c:pt idx="39">
                  <c:v>11.473474844178638</c:v>
                </c:pt>
                <c:pt idx="40">
                  <c:v>11.577036657874839</c:v>
                </c:pt>
                <c:pt idx="41">
                  <c:v>11.683395744008296</c:v>
                </c:pt>
                <c:pt idx="42">
                  <c:v>11.792476415070755</c:v>
                </c:pt>
                <c:pt idx="43">
                  <c:v>11.904203855968046</c:v>
                </c:pt>
                <c:pt idx="44">
                  <c:v>12.018504251546631</c:v>
                </c:pt>
                <c:pt idx="45">
                  <c:v>12.13530489934225</c:v>
                </c:pt>
                <c:pt idx="46">
                  <c:v>12.254534308210619</c:v>
                </c:pt>
                <c:pt idx="47">
                  <c:v>12.376122283565953</c:v>
                </c:pt>
                <c:pt idx="48">
                  <c:v>12.5</c:v>
                </c:pt>
                <c:pt idx="49">
                  <c:v>12.626100062084799</c:v>
                </c:pt>
                <c:pt idx="50">
                  <c:v>12.754356554178305</c:v>
                </c:pt>
                <c:pt idx="51">
                  <c:v>12.884705080055188</c:v>
                </c:pt>
                <c:pt idx="52">
                  <c:v>13.017082793177757</c:v>
                </c:pt>
                <c:pt idx="53">
                  <c:v>13.151428418405525</c:v>
                </c:pt>
                <c:pt idx="54">
                  <c:v>13.28768226591831</c:v>
                </c:pt>
                <c:pt idx="55">
                  <c:v>13.42578623809835</c:v>
                </c:pt>
                <c:pt idx="56">
                  <c:v>13.565683830083087</c:v>
                </c:pt>
                <c:pt idx="57">
                  <c:v>13.707320124663315</c:v>
                </c:pt>
                <c:pt idx="58">
                  <c:v>13.850641782162214</c:v>
                </c:pt>
                <c:pt idx="59">
                  <c:v>13.995597025890357</c:v>
                </c:pt>
                <c:pt idx="60">
                  <c:v>14.142135623730947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CE1-46CB-A7F0-E3FEB0BBC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047520"/>
        <c:axId val="438047848"/>
      </c:scatterChart>
      <c:valAx>
        <c:axId val="43804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Distance from Waist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47848"/>
        <c:crosses val="autoZero"/>
        <c:crossBetween val="midCat"/>
      </c:valAx>
      <c:valAx>
        <c:axId val="43804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Beam Diameter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47520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Simulated Beam Caustic Through</a:t>
            </a:r>
            <a:r>
              <a:rPr lang="en-US" sz="1400" baseline="0"/>
              <a:t> BeamMap2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rgbClr val="FF0066"/>
              </a:solidFill>
              <a:round/>
              <a:headEnd type="none"/>
              <a:tailEnd type="triangle" w="lg" len="med"/>
            </a:ln>
            <a:effectLst/>
          </c:spPr>
          <c:marker>
            <c:symbol val="none"/>
          </c:marker>
          <c:xVal>
            <c:numRef>
              <c:f>Sheet2!$J$2:$J$62</c:f>
              <c:numCache>
                <c:formatCode>0.00</c:formatCode>
                <c:ptCount val="61"/>
                <c:pt idx="0">
                  <c:v>-100</c:v>
                </c:pt>
                <c:pt idx="1">
                  <c:v>-91.666666666666671</c:v>
                </c:pt>
                <c:pt idx="2">
                  <c:v>-83.333333333333343</c:v>
                </c:pt>
                <c:pt idx="3">
                  <c:v>-75.000000000000014</c:v>
                </c:pt>
                <c:pt idx="4">
                  <c:v>-66.666666666666686</c:v>
                </c:pt>
                <c:pt idx="5">
                  <c:v>-58.33333333333335</c:v>
                </c:pt>
                <c:pt idx="6">
                  <c:v>-50.000000000000014</c:v>
                </c:pt>
                <c:pt idx="7">
                  <c:v>-41.666666666666679</c:v>
                </c:pt>
                <c:pt idx="8">
                  <c:v>-33.333333333333343</c:v>
                </c:pt>
                <c:pt idx="9">
                  <c:v>-25.000000000000007</c:v>
                </c:pt>
                <c:pt idx="10">
                  <c:v>-16.666666666666671</c:v>
                </c:pt>
                <c:pt idx="11">
                  <c:v>-8.3333333333333375</c:v>
                </c:pt>
                <c:pt idx="12">
                  <c:v>0</c:v>
                </c:pt>
                <c:pt idx="13">
                  <c:v>8.3333333333333339</c:v>
                </c:pt>
                <c:pt idx="14">
                  <c:v>16.666666666666668</c:v>
                </c:pt>
                <c:pt idx="15">
                  <c:v>25</c:v>
                </c:pt>
                <c:pt idx="16">
                  <c:v>33.333333333333336</c:v>
                </c:pt>
                <c:pt idx="17">
                  <c:v>41.666666666666671</c:v>
                </c:pt>
                <c:pt idx="18">
                  <c:v>50.000000000000007</c:v>
                </c:pt>
                <c:pt idx="19">
                  <c:v>58.333333333333343</c:v>
                </c:pt>
                <c:pt idx="20">
                  <c:v>66.666666666666671</c:v>
                </c:pt>
                <c:pt idx="21">
                  <c:v>75</c:v>
                </c:pt>
                <c:pt idx="22">
                  <c:v>83.333333333333329</c:v>
                </c:pt>
                <c:pt idx="23">
                  <c:v>91.666666666666657</c:v>
                </c:pt>
                <c:pt idx="24">
                  <c:v>99.999999999999986</c:v>
                </c:pt>
                <c:pt idx="25">
                  <c:v>108.33333333333331</c:v>
                </c:pt>
                <c:pt idx="26">
                  <c:v>116.66666666666664</c:v>
                </c:pt>
                <c:pt idx="27">
                  <c:v>124.99999999999997</c:v>
                </c:pt>
                <c:pt idx="28">
                  <c:v>133.33333333333331</c:v>
                </c:pt>
                <c:pt idx="29">
                  <c:v>141.66666666666666</c:v>
                </c:pt>
                <c:pt idx="30">
                  <c:v>150</c:v>
                </c:pt>
                <c:pt idx="31">
                  <c:v>158.33333333333334</c:v>
                </c:pt>
                <c:pt idx="32">
                  <c:v>166.66666666666669</c:v>
                </c:pt>
                <c:pt idx="33">
                  <c:v>175.00000000000003</c:v>
                </c:pt>
                <c:pt idx="34">
                  <c:v>183.33333333333337</c:v>
                </c:pt>
                <c:pt idx="35">
                  <c:v>191.66666666666671</c:v>
                </c:pt>
                <c:pt idx="36">
                  <c:v>200.00000000000006</c:v>
                </c:pt>
                <c:pt idx="37">
                  <c:v>208.3333333333334</c:v>
                </c:pt>
                <c:pt idx="38">
                  <c:v>216.66666666666674</c:v>
                </c:pt>
                <c:pt idx="39">
                  <c:v>225.00000000000009</c:v>
                </c:pt>
                <c:pt idx="40">
                  <c:v>233.33333333333343</c:v>
                </c:pt>
                <c:pt idx="41">
                  <c:v>241.66666666666677</c:v>
                </c:pt>
                <c:pt idx="42">
                  <c:v>250.00000000000011</c:v>
                </c:pt>
                <c:pt idx="43">
                  <c:v>258.33333333333343</c:v>
                </c:pt>
                <c:pt idx="44">
                  <c:v>266.66666666666674</c:v>
                </c:pt>
                <c:pt idx="45">
                  <c:v>275.00000000000006</c:v>
                </c:pt>
                <c:pt idx="46">
                  <c:v>283.33333333333337</c:v>
                </c:pt>
                <c:pt idx="47">
                  <c:v>291.66666666666669</c:v>
                </c:pt>
                <c:pt idx="48">
                  <c:v>300</c:v>
                </c:pt>
                <c:pt idx="49">
                  <c:v>308.33333333333331</c:v>
                </c:pt>
                <c:pt idx="50">
                  <c:v>316.66666666666663</c:v>
                </c:pt>
                <c:pt idx="51">
                  <c:v>324.99999999999994</c:v>
                </c:pt>
                <c:pt idx="52">
                  <c:v>333.33333333333326</c:v>
                </c:pt>
                <c:pt idx="53">
                  <c:v>341.66666666666657</c:v>
                </c:pt>
                <c:pt idx="54">
                  <c:v>349.99999999999989</c:v>
                </c:pt>
                <c:pt idx="55">
                  <c:v>358.3333333333332</c:v>
                </c:pt>
                <c:pt idx="56">
                  <c:v>366.66666666666652</c:v>
                </c:pt>
                <c:pt idx="57">
                  <c:v>374.99999999999983</c:v>
                </c:pt>
                <c:pt idx="58">
                  <c:v>383.33333333333314</c:v>
                </c:pt>
                <c:pt idx="59">
                  <c:v>391.66666666666646</c:v>
                </c:pt>
                <c:pt idx="60">
                  <c:v>399.99999999999977</c:v>
                </c:pt>
              </c:numCache>
            </c:numRef>
          </c:xVal>
          <c:yVal>
            <c:numRef>
              <c:f>Sheet2!$M$2:$M$62</c:f>
              <c:numCache>
                <c:formatCode>General</c:formatCode>
                <c:ptCount val="61"/>
                <c:pt idx="0">
                  <c:v>6.880668624470113</c:v>
                </c:pt>
                <c:pt idx="1">
                  <c:v>6.6162550706846348</c:v>
                </c:pt>
                <c:pt idx="2">
                  <c:v>6.3652485724225558</c:v>
                </c:pt>
                <c:pt idx="3">
                  <c:v>6.1292964853129099</c:v>
                </c:pt>
                <c:pt idx="4">
                  <c:v>5.9102021292664375</c:v>
                </c:pt>
                <c:pt idx="5">
                  <c:v>5.7099063740552189</c:v>
                </c:pt>
                <c:pt idx="6">
                  <c:v>5.530452077356955</c:v>
                </c:pt>
                <c:pt idx="7">
                  <c:v>5.3739275532129991</c:v>
                </c:pt>
                <c:pt idx="8">
                  <c:v>5.2423870805384434</c:v>
                </c:pt>
                <c:pt idx="9">
                  <c:v>5.1377499982955053</c:v>
                </c:pt>
                <c:pt idx="10">
                  <c:v>5.0616850529788096</c:v>
                </c:pt>
                <c:pt idx="11">
                  <c:v>5.0154923879801938</c:v>
                </c:pt>
                <c:pt idx="12">
                  <c:v>5</c:v>
                </c:pt>
                <c:pt idx="13">
                  <c:v>5.0154923879801938</c:v>
                </c:pt>
                <c:pt idx="14">
                  <c:v>5.0616850529788096</c:v>
                </c:pt>
                <c:pt idx="15">
                  <c:v>5.1377499982955053</c:v>
                </c:pt>
                <c:pt idx="16">
                  <c:v>5.2423870805384434</c:v>
                </c:pt>
                <c:pt idx="17">
                  <c:v>5.3739275532129991</c:v>
                </c:pt>
                <c:pt idx="18">
                  <c:v>5.530452077356955</c:v>
                </c:pt>
                <c:pt idx="19">
                  <c:v>5.7099063740552189</c:v>
                </c:pt>
                <c:pt idx="20">
                  <c:v>5.9102021292664375</c:v>
                </c:pt>
                <c:pt idx="21">
                  <c:v>6.1292964853129099</c:v>
                </c:pt>
                <c:pt idx="22">
                  <c:v>6.3652485724225558</c:v>
                </c:pt>
                <c:pt idx="23">
                  <c:v>6.6162550706846348</c:v>
                </c:pt>
                <c:pt idx="24">
                  <c:v>6.8806686244701121</c:v>
                </c:pt>
                <c:pt idx="25">
                  <c:v>7.1570034278983883</c:v>
                </c:pt>
                <c:pt idx="26">
                  <c:v>7.4439319718751911</c:v>
                </c:pt>
                <c:pt idx="27">
                  <c:v>7.7402762305124888</c:v>
                </c:pt>
                <c:pt idx="28">
                  <c:v>8.0449957635254279</c:v>
                </c:pt>
                <c:pt idx="29">
                  <c:v>8.3571744826479577</c:v>
                </c:pt>
                <c:pt idx="30">
                  <c:v>8.6760072394781194</c:v>
                </c:pt>
                <c:pt idx="31">
                  <c:v>9.0007869485565468</c:v>
                </c:pt>
                <c:pt idx="32">
                  <c:v>9.3308926451283085</c:v>
                </c:pt>
                <c:pt idx="33">
                  <c:v>9.6657786651820157</c:v>
                </c:pt>
                <c:pt idx="34">
                  <c:v>10.004964999511024</c:v>
                </c:pt>
                <c:pt idx="35">
                  <c:v>10.348028791338375</c:v>
                </c:pt>
                <c:pt idx="36">
                  <c:v>10.69459690119594</c:v>
                </c:pt>
                <c:pt idx="37">
                  <c:v>11.044339440616005</c:v>
                </c:pt>
                <c:pt idx="38">
                  <c:v>11.396964168926619</c:v>
                </c:pt>
                <c:pt idx="39">
                  <c:v>11.75221164903963</c:v>
                </c:pt>
                <c:pt idx="40">
                  <c:v>12.109851064634231</c:v>
                </c:pt>
                <c:pt idx="41">
                  <c:v>12.469676610048772</c:v>
                </c:pt>
                <c:pt idx="42">
                  <c:v>12.831504373944103</c:v>
                </c:pt>
                <c:pt idx="43">
                  <c:v>13.195169647475939</c:v>
                </c:pt>
                <c:pt idx="44">
                  <c:v>13.560524596805559</c:v>
                </c:pt>
                <c:pt idx="45">
                  <c:v>13.927436248040818</c:v>
                </c:pt>
                <c:pt idx="46">
                  <c:v>14.295784740044482</c:v>
                </c:pt>
                <c:pt idx="47">
                  <c:v>14.665461806977323</c:v>
                </c:pt>
                <c:pt idx="48">
                  <c:v>15.036369458014358</c:v>
                </c:pt>
                <c:pt idx="49">
                  <c:v>15.408418826462302</c:v>
                </c:pt>
                <c:pt idx="50">
                  <c:v>15.781529164603265</c:v>
                </c:pt>
                <c:pt idx="51">
                  <c:v>16.155626964081076</c:v>
                </c:pt>
                <c:pt idx="52">
                  <c:v>16.530645184615093</c:v>
                </c:pt>
                <c:pt idx="53">
                  <c:v>16.906522576346305</c:v>
                </c:pt>
                <c:pt idx="54">
                  <c:v>17.28320308325835</c:v>
                </c:pt>
                <c:pt idx="55">
                  <c:v>17.660635316929262</c:v>
                </c:pt>
                <c:pt idx="56">
                  <c:v>18.038772091408049</c:v>
                </c:pt>
                <c:pt idx="57">
                  <c:v>18.41757001131608</c:v>
                </c:pt>
                <c:pt idx="58">
                  <c:v>18.796989106382735</c:v>
                </c:pt>
                <c:pt idx="59">
                  <c:v>19.176992506568585</c:v>
                </c:pt>
                <c:pt idx="60">
                  <c:v>19.557546152732932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44-482E-B97E-DB3BE0423067}"/>
            </c:ext>
          </c:extLst>
        </c:ser>
        <c:ser>
          <c:idx val="2"/>
          <c:order val="1"/>
          <c:spPr>
            <a:ln w="19050" cap="rnd">
              <a:solidFill>
                <a:srgbClr val="FF0066"/>
              </a:solidFill>
              <a:round/>
              <a:tailEnd type="triangle" w="lg" len="med"/>
            </a:ln>
            <a:effectLst/>
          </c:spPr>
          <c:marker>
            <c:symbol val="none"/>
          </c:marker>
          <c:xVal>
            <c:numRef>
              <c:f>Sheet2!$J$2:$J$62</c:f>
              <c:numCache>
                <c:formatCode>0.00</c:formatCode>
                <c:ptCount val="61"/>
                <c:pt idx="0">
                  <c:v>-100</c:v>
                </c:pt>
                <c:pt idx="1">
                  <c:v>-91.666666666666671</c:v>
                </c:pt>
                <c:pt idx="2">
                  <c:v>-83.333333333333343</c:v>
                </c:pt>
                <c:pt idx="3">
                  <c:v>-75.000000000000014</c:v>
                </c:pt>
                <c:pt idx="4">
                  <c:v>-66.666666666666686</c:v>
                </c:pt>
                <c:pt idx="5">
                  <c:v>-58.33333333333335</c:v>
                </c:pt>
                <c:pt idx="6">
                  <c:v>-50.000000000000014</c:v>
                </c:pt>
                <c:pt idx="7">
                  <c:v>-41.666666666666679</c:v>
                </c:pt>
                <c:pt idx="8">
                  <c:v>-33.333333333333343</c:v>
                </c:pt>
                <c:pt idx="9">
                  <c:v>-25.000000000000007</c:v>
                </c:pt>
                <c:pt idx="10">
                  <c:v>-16.666666666666671</c:v>
                </c:pt>
                <c:pt idx="11">
                  <c:v>-8.3333333333333375</c:v>
                </c:pt>
                <c:pt idx="12">
                  <c:v>0</c:v>
                </c:pt>
                <c:pt idx="13">
                  <c:v>8.3333333333333339</c:v>
                </c:pt>
                <c:pt idx="14">
                  <c:v>16.666666666666668</c:v>
                </c:pt>
                <c:pt idx="15">
                  <c:v>25</c:v>
                </c:pt>
                <c:pt idx="16">
                  <c:v>33.333333333333336</c:v>
                </c:pt>
                <c:pt idx="17">
                  <c:v>41.666666666666671</c:v>
                </c:pt>
                <c:pt idx="18">
                  <c:v>50.000000000000007</c:v>
                </c:pt>
                <c:pt idx="19">
                  <c:v>58.333333333333343</c:v>
                </c:pt>
                <c:pt idx="20">
                  <c:v>66.666666666666671</c:v>
                </c:pt>
                <c:pt idx="21">
                  <c:v>75</c:v>
                </c:pt>
                <c:pt idx="22">
                  <c:v>83.333333333333329</c:v>
                </c:pt>
                <c:pt idx="23">
                  <c:v>91.666666666666657</c:v>
                </c:pt>
                <c:pt idx="24">
                  <c:v>99.999999999999986</c:v>
                </c:pt>
                <c:pt idx="25">
                  <c:v>108.33333333333331</c:v>
                </c:pt>
                <c:pt idx="26">
                  <c:v>116.66666666666664</c:v>
                </c:pt>
                <c:pt idx="27">
                  <c:v>124.99999999999997</c:v>
                </c:pt>
                <c:pt idx="28">
                  <c:v>133.33333333333331</c:v>
                </c:pt>
                <c:pt idx="29">
                  <c:v>141.66666666666666</c:v>
                </c:pt>
                <c:pt idx="30">
                  <c:v>150</c:v>
                </c:pt>
                <c:pt idx="31">
                  <c:v>158.33333333333334</c:v>
                </c:pt>
                <c:pt idx="32">
                  <c:v>166.66666666666669</c:v>
                </c:pt>
                <c:pt idx="33">
                  <c:v>175.00000000000003</c:v>
                </c:pt>
                <c:pt idx="34">
                  <c:v>183.33333333333337</c:v>
                </c:pt>
                <c:pt idx="35">
                  <c:v>191.66666666666671</c:v>
                </c:pt>
                <c:pt idx="36">
                  <c:v>200.00000000000006</c:v>
                </c:pt>
                <c:pt idx="37">
                  <c:v>208.3333333333334</c:v>
                </c:pt>
                <c:pt idx="38">
                  <c:v>216.66666666666674</c:v>
                </c:pt>
                <c:pt idx="39">
                  <c:v>225.00000000000009</c:v>
                </c:pt>
                <c:pt idx="40">
                  <c:v>233.33333333333343</c:v>
                </c:pt>
                <c:pt idx="41">
                  <c:v>241.66666666666677</c:v>
                </c:pt>
                <c:pt idx="42">
                  <c:v>250.00000000000011</c:v>
                </c:pt>
                <c:pt idx="43">
                  <c:v>258.33333333333343</c:v>
                </c:pt>
                <c:pt idx="44">
                  <c:v>266.66666666666674</c:v>
                </c:pt>
                <c:pt idx="45">
                  <c:v>275.00000000000006</c:v>
                </c:pt>
                <c:pt idx="46">
                  <c:v>283.33333333333337</c:v>
                </c:pt>
                <c:pt idx="47">
                  <c:v>291.66666666666669</c:v>
                </c:pt>
                <c:pt idx="48">
                  <c:v>300</c:v>
                </c:pt>
                <c:pt idx="49">
                  <c:v>308.33333333333331</c:v>
                </c:pt>
                <c:pt idx="50">
                  <c:v>316.66666666666663</c:v>
                </c:pt>
                <c:pt idx="51">
                  <c:v>324.99999999999994</c:v>
                </c:pt>
                <c:pt idx="52">
                  <c:v>333.33333333333326</c:v>
                </c:pt>
                <c:pt idx="53">
                  <c:v>341.66666666666657</c:v>
                </c:pt>
                <c:pt idx="54">
                  <c:v>349.99999999999989</c:v>
                </c:pt>
                <c:pt idx="55">
                  <c:v>358.3333333333332</c:v>
                </c:pt>
                <c:pt idx="56">
                  <c:v>366.66666666666652</c:v>
                </c:pt>
                <c:pt idx="57">
                  <c:v>374.99999999999983</c:v>
                </c:pt>
                <c:pt idx="58">
                  <c:v>383.33333333333314</c:v>
                </c:pt>
                <c:pt idx="59">
                  <c:v>391.66666666666646</c:v>
                </c:pt>
                <c:pt idx="60">
                  <c:v>399.99999999999977</c:v>
                </c:pt>
              </c:numCache>
            </c:numRef>
          </c:xVal>
          <c:yVal>
            <c:numRef>
              <c:f>Sheet2!$L$2:$L$62</c:f>
              <c:numCache>
                <c:formatCode>General</c:formatCode>
                <c:ptCount val="61"/>
                <c:pt idx="0">
                  <c:v>-6.880668624470113</c:v>
                </c:pt>
                <c:pt idx="1">
                  <c:v>-6.6162550706846348</c:v>
                </c:pt>
                <c:pt idx="2">
                  <c:v>-6.3652485724225558</c:v>
                </c:pt>
                <c:pt idx="3">
                  <c:v>-6.1292964853129099</c:v>
                </c:pt>
                <c:pt idx="4">
                  <c:v>-5.9102021292664375</c:v>
                </c:pt>
                <c:pt idx="5">
                  <c:v>-5.7099063740552189</c:v>
                </c:pt>
                <c:pt idx="6">
                  <c:v>-5.530452077356955</c:v>
                </c:pt>
                <c:pt idx="7">
                  <c:v>-5.3739275532129991</c:v>
                </c:pt>
                <c:pt idx="8">
                  <c:v>-5.2423870805384434</c:v>
                </c:pt>
                <c:pt idx="9">
                  <c:v>-5.1377499982955053</c:v>
                </c:pt>
                <c:pt idx="10">
                  <c:v>-5.0616850529788096</c:v>
                </c:pt>
                <c:pt idx="11">
                  <c:v>-5.0154923879801938</c:v>
                </c:pt>
                <c:pt idx="12">
                  <c:v>-5</c:v>
                </c:pt>
                <c:pt idx="13">
                  <c:v>-5.0154923879801938</c:v>
                </c:pt>
                <c:pt idx="14">
                  <c:v>-5.0616850529788096</c:v>
                </c:pt>
                <c:pt idx="15">
                  <c:v>-5.1377499982955053</c:v>
                </c:pt>
                <c:pt idx="16">
                  <c:v>-5.2423870805384434</c:v>
                </c:pt>
                <c:pt idx="17">
                  <c:v>-5.3739275532129991</c:v>
                </c:pt>
                <c:pt idx="18">
                  <c:v>-5.530452077356955</c:v>
                </c:pt>
                <c:pt idx="19">
                  <c:v>-5.7099063740552189</c:v>
                </c:pt>
                <c:pt idx="20">
                  <c:v>-5.9102021292664375</c:v>
                </c:pt>
                <c:pt idx="21">
                  <c:v>-6.1292964853129099</c:v>
                </c:pt>
                <c:pt idx="22">
                  <c:v>-6.3652485724225558</c:v>
                </c:pt>
                <c:pt idx="23">
                  <c:v>-6.6162550706846348</c:v>
                </c:pt>
                <c:pt idx="24">
                  <c:v>-6.8806686244701121</c:v>
                </c:pt>
                <c:pt idx="25">
                  <c:v>-7.1570034278983883</c:v>
                </c:pt>
                <c:pt idx="26">
                  <c:v>-7.4439319718751911</c:v>
                </c:pt>
                <c:pt idx="27">
                  <c:v>-7.7402762305124888</c:v>
                </c:pt>
                <c:pt idx="28">
                  <c:v>-8.0449957635254279</c:v>
                </c:pt>
                <c:pt idx="29">
                  <c:v>-8.3571744826479577</c:v>
                </c:pt>
                <c:pt idx="30">
                  <c:v>-8.6760072394781194</c:v>
                </c:pt>
                <c:pt idx="31">
                  <c:v>-9.0007869485565468</c:v>
                </c:pt>
                <c:pt idx="32">
                  <c:v>-9.3308926451283085</c:v>
                </c:pt>
                <c:pt idx="33">
                  <c:v>-9.6657786651820157</c:v>
                </c:pt>
                <c:pt idx="34">
                  <c:v>-10.004964999511024</c:v>
                </c:pt>
                <c:pt idx="35">
                  <c:v>-10.348028791338375</c:v>
                </c:pt>
                <c:pt idx="36">
                  <c:v>-10.69459690119594</c:v>
                </c:pt>
                <c:pt idx="37">
                  <c:v>-11.044339440616005</c:v>
                </c:pt>
                <c:pt idx="38">
                  <c:v>-11.396964168926619</c:v>
                </c:pt>
                <c:pt idx="39">
                  <c:v>-11.75221164903963</c:v>
                </c:pt>
                <c:pt idx="40">
                  <c:v>-12.109851064634231</c:v>
                </c:pt>
                <c:pt idx="41">
                  <c:v>-12.469676610048772</c:v>
                </c:pt>
                <c:pt idx="42">
                  <c:v>-12.831504373944103</c:v>
                </c:pt>
                <c:pt idx="43">
                  <c:v>-13.195169647475939</c:v>
                </c:pt>
                <c:pt idx="44">
                  <c:v>-13.560524596805559</c:v>
                </c:pt>
                <c:pt idx="45">
                  <c:v>-13.927436248040818</c:v>
                </c:pt>
                <c:pt idx="46">
                  <c:v>-14.295784740044482</c:v>
                </c:pt>
                <c:pt idx="47">
                  <c:v>-14.665461806977323</c:v>
                </c:pt>
                <c:pt idx="48">
                  <c:v>-15.036369458014358</c:v>
                </c:pt>
                <c:pt idx="49">
                  <c:v>-15.408418826462302</c:v>
                </c:pt>
                <c:pt idx="50">
                  <c:v>-15.781529164603265</c:v>
                </c:pt>
                <c:pt idx="51">
                  <c:v>-16.155626964081076</c:v>
                </c:pt>
                <c:pt idx="52">
                  <c:v>-16.530645184615093</c:v>
                </c:pt>
                <c:pt idx="53">
                  <c:v>-16.906522576346305</c:v>
                </c:pt>
                <c:pt idx="54">
                  <c:v>-17.28320308325835</c:v>
                </c:pt>
                <c:pt idx="55">
                  <c:v>-17.660635316929262</c:v>
                </c:pt>
                <c:pt idx="56">
                  <c:v>-18.038772091408049</c:v>
                </c:pt>
                <c:pt idx="57">
                  <c:v>-18.41757001131608</c:v>
                </c:pt>
                <c:pt idx="58">
                  <c:v>-18.796989106382735</c:v>
                </c:pt>
                <c:pt idx="59">
                  <c:v>-19.176992506568585</c:v>
                </c:pt>
                <c:pt idx="60">
                  <c:v>-19.557546152732932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644-482E-B97E-DB3BE0423067}"/>
            </c:ext>
          </c:extLst>
        </c:ser>
        <c:ser>
          <c:idx val="0"/>
          <c:order val="2"/>
          <c:tx>
            <c:strRef>
              <c:f>Sheet2!$F$2</c:f>
              <c:strCache>
                <c:ptCount val="1"/>
                <c:pt idx="0">
                  <c:v>-100 μm Slit Plane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Sheet2!$M$2</c:f>
                <c:numCache>
                  <c:formatCode>General</c:formatCode>
                  <c:ptCount val="1"/>
                  <c:pt idx="0">
                    <c:v>6.880668624470113</c:v>
                  </c:pt>
                </c:numCache>
              </c:numRef>
            </c:plus>
            <c:minus>
              <c:numRef>
                <c:f>Sheet2!$M$2</c:f>
                <c:numCache>
                  <c:formatCode>General</c:formatCode>
                  <c:ptCount val="1"/>
                  <c:pt idx="0">
                    <c:v>6.880668624470113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Sheet2!$J$2</c:f>
              <c:numCache>
                <c:formatCode>0.00</c:formatCode>
                <c:ptCount val="1"/>
                <c:pt idx="0">
                  <c:v>-100</c:v>
                </c:pt>
              </c:numCache>
            </c:numRef>
          </c:xVal>
          <c:yVal>
            <c:numRef>
              <c:f>Sheet2!$E$1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FB-4172-9B2E-CC9A90417F47}"/>
            </c:ext>
          </c:extLst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0 μm Slit Plane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Sheet2!$M$14</c:f>
                <c:numCache>
                  <c:formatCode>General</c:formatCode>
                  <c:ptCount val="1"/>
                  <c:pt idx="0">
                    <c:v>5</c:v>
                  </c:pt>
                </c:numCache>
              </c:numRef>
            </c:plus>
            <c:minus>
              <c:numRef>
                <c:f>Sheet2!$M$14</c:f>
                <c:numCache>
                  <c:formatCode>General</c:formatCode>
                  <c:ptCount val="1"/>
                  <c:pt idx="0">
                    <c:v>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Sheet2!$J$14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Sheet2!$E$1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FB-4172-9B2E-CC9A90417F47}"/>
            </c:ext>
          </c:extLst>
        </c:ser>
        <c:ser>
          <c:idx val="4"/>
          <c:order val="4"/>
          <c:tx>
            <c:strRef>
              <c:f>Sheet2!$F$4</c:f>
              <c:strCache>
                <c:ptCount val="1"/>
                <c:pt idx="0">
                  <c:v>+100 μm Slit Plane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Sheet2!$M$26</c:f>
                <c:numCache>
                  <c:formatCode>General</c:formatCode>
                  <c:ptCount val="1"/>
                  <c:pt idx="0">
                    <c:v>6.8806686244701121</c:v>
                  </c:pt>
                </c:numCache>
              </c:numRef>
            </c:plus>
            <c:minus>
              <c:numRef>
                <c:f>Sheet2!$M$26</c:f>
                <c:numCache>
                  <c:formatCode>General</c:formatCode>
                  <c:ptCount val="1"/>
                  <c:pt idx="0">
                    <c:v>6.8806686244701121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Sheet2!$J$26</c:f>
              <c:numCache>
                <c:formatCode>0.00</c:formatCode>
                <c:ptCount val="1"/>
                <c:pt idx="0">
                  <c:v>99.999999999999986</c:v>
                </c:pt>
              </c:numCache>
            </c:numRef>
          </c:xVal>
          <c:yVal>
            <c:numRef>
              <c:f>Sheet2!$E$1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FB-4172-9B2E-CC9A90417F47}"/>
            </c:ext>
          </c:extLst>
        </c:ser>
        <c:ser>
          <c:idx val="5"/>
          <c:order val="5"/>
          <c:tx>
            <c:strRef>
              <c:f>Sheet2!$F$5</c:f>
              <c:strCache>
                <c:ptCount val="1"/>
                <c:pt idx="0">
                  <c:v>+400 μm Slit Plane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Sheet2!$M$62</c:f>
                <c:numCache>
                  <c:formatCode>General</c:formatCode>
                  <c:ptCount val="1"/>
                  <c:pt idx="0">
                    <c:v>19.557546152732932</c:v>
                  </c:pt>
                </c:numCache>
              </c:numRef>
            </c:plus>
            <c:minus>
              <c:numRef>
                <c:f>Sheet2!$M$62</c:f>
                <c:numCache>
                  <c:formatCode>General</c:formatCode>
                  <c:ptCount val="1"/>
                  <c:pt idx="0">
                    <c:v>19.557546152732932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Sheet2!$J$62</c:f>
              <c:numCache>
                <c:formatCode>0.00</c:formatCode>
                <c:ptCount val="1"/>
                <c:pt idx="0">
                  <c:v>399.99999999999977</c:v>
                </c:pt>
              </c:numCache>
            </c:numRef>
          </c:xVal>
          <c:yVal>
            <c:numRef>
              <c:f>Sheet2!$E$1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FB-4172-9B2E-CC9A90417F47}"/>
            </c:ext>
          </c:extLst>
        </c:ser>
        <c:ser>
          <c:idx val="6"/>
          <c:order val="6"/>
          <c:tx>
            <c:v>Rayleigh Range Limits for M2</c:v>
          </c:tx>
          <c:spPr>
            <a:ln w="19050" cap="rnd" cmpd="sng">
              <a:solidFill>
                <a:schemeClr val="tx1">
                  <a:alpha val="50000"/>
                </a:schemeClr>
              </a:solidFill>
              <a:prstDash val="dash"/>
              <a:round/>
              <a:tailEnd type="none"/>
            </a:ln>
            <a:effectLst/>
          </c:spPr>
          <c:marker>
            <c:symbol val="none"/>
          </c:marker>
          <c:xVal>
            <c:numRef>
              <c:f>Sheet2!$J$8:$J$20</c:f>
              <c:numCache>
                <c:formatCode>0.00</c:formatCode>
                <c:ptCount val="13"/>
                <c:pt idx="0">
                  <c:v>-50.000000000000014</c:v>
                </c:pt>
                <c:pt idx="1">
                  <c:v>-41.666666666666679</c:v>
                </c:pt>
                <c:pt idx="2">
                  <c:v>-33.333333333333343</c:v>
                </c:pt>
                <c:pt idx="3">
                  <c:v>-25.000000000000007</c:v>
                </c:pt>
                <c:pt idx="4">
                  <c:v>-16.666666666666671</c:v>
                </c:pt>
                <c:pt idx="5">
                  <c:v>-8.3333333333333375</c:v>
                </c:pt>
                <c:pt idx="6">
                  <c:v>0</c:v>
                </c:pt>
                <c:pt idx="7">
                  <c:v>8.3333333333333339</c:v>
                </c:pt>
                <c:pt idx="8">
                  <c:v>16.666666666666668</c:v>
                </c:pt>
                <c:pt idx="9">
                  <c:v>25</c:v>
                </c:pt>
                <c:pt idx="10">
                  <c:v>33.333333333333336</c:v>
                </c:pt>
                <c:pt idx="11">
                  <c:v>41.666666666666671</c:v>
                </c:pt>
                <c:pt idx="12">
                  <c:v>50.000000000000007</c:v>
                </c:pt>
              </c:numCache>
            </c:numRef>
          </c:xVal>
          <c:yVal>
            <c:numRef>
              <c:f>Sheet2!$P$8:$P$20</c:f>
              <c:numCache>
                <c:formatCode>General</c:formatCode>
                <c:ptCount val="13"/>
                <c:pt idx="0">
                  <c:v>10.625000000000002</c:v>
                </c:pt>
                <c:pt idx="1">
                  <c:v>9.2755137997848944</c:v>
                </c:pt>
                <c:pt idx="2">
                  <c:v>8.0039052967910624</c:v>
                </c:pt>
                <c:pt idx="3">
                  <c:v>6.8536600623316604</c:v>
                </c:pt>
                <c:pt idx="4">
                  <c:v>5.8962382075353776</c:v>
                </c:pt>
                <c:pt idx="5">
                  <c:v>5.2384545669500664</c:v>
                </c:pt>
                <c:pt idx="6">
                  <c:v>5</c:v>
                </c:pt>
                <c:pt idx="7">
                  <c:v>5.2384545669500664</c:v>
                </c:pt>
                <c:pt idx="8">
                  <c:v>5.8962382075353768</c:v>
                </c:pt>
                <c:pt idx="9">
                  <c:v>6.8536600623316595</c:v>
                </c:pt>
                <c:pt idx="10">
                  <c:v>8.0039052967910607</c:v>
                </c:pt>
                <c:pt idx="11">
                  <c:v>9.2755137997848944</c:v>
                </c:pt>
                <c:pt idx="12">
                  <c:v>10.625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5FB-4172-9B2E-CC9A90417F47}"/>
            </c:ext>
          </c:extLst>
        </c:ser>
        <c:ser>
          <c:idx val="7"/>
          <c:order val="7"/>
          <c:tx>
            <c:v>Upper Limit -</c:v>
          </c:tx>
          <c:spPr>
            <a:ln w="19050" cap="rnd">
              <a:solidFill>
                <a:schemeClr val="tx1">
                  <a:alpha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Sheet2!$J$8:$J$20</c:f>
              <c:numCache>
                <c:formatCode>0.00</c:formatCode>
                <c:ptCount val="13"/>
                <c:pt idx="0">
                  <c:v>-50.000000000000014</c:v>
                </c:pt>
                <c:pt idx="1">
                  <c:v>-41.666666666666679</c:v>
                </c:pt>
                <c:pt idx="2">
                  <c:v>-33.333333333333343</c:v>
                </c:pt>
                <c:pt idx="3">
                  <c:v>-25.000000000000007</c:v>
                </c:pt>
                <c:pt idx="4">
                  <c:v>-16.666666666666671</c:v>
                </c:pt>
                <c:pt idx="5">
                  <c:v>-8.3333333333333375</c:v>
                </c:pt>
                <c:pt idx="6">
                  <c:v>0</c:v>
                </c:pt>
                <c:pt idx="7">
                  <c:v>8.3333333333333339</c:v>
                </c:pt>
                <c:pt idx="8">
                  <c:v>16.666666666666668</c:v>
                </c:pt>
                <c:pt idx="9">
                  <c:v>25</c:v>
                </c:pt>
                <c:pt idx="10">
                  <c:v>33.333333333333336</c:v>
                </c:pt>
                <c:pt idx="11">
                  <c:v>41.666666666666671</c:v>
                </c:pt>
                <c:pt idx="12">
                  <c:v>50.000000000000007</c:v>
                </c:pt>
              </c:numCache>
            </c:numRef>
          </c:xVal>
          <c:yVal>
            <c:numRef>
              <c:f>Sheet2!$O$8:$O$20</c:f>
              <c:numCache>
                <c:formatCode>General</c:formatCode>
                <c:ptCount val="13"/>
                <c:pt idx="0">
                  <c:v>-10.625000000000002</c:v>
                </c:pt>
                <c:pt idx="1">
                  <c:v>-9.2755137997848944</c:v>
                </c:pt>
                <c:pt idx="2">
                  <c:v>-8.0039052967910624</c:v>
                </c:pt>
                <c:pt idx="3">
                  <c:v>-6.8536600623316604</c:v>
                </c:pt>
                <c:pt idx="4">
                  <c:v>-5.8962382075353776</c:v>
                </c:pt>
                <c:pt idx="5">
                  <c:v>-5.2384545669500664</c:v>
                </c:pt>
                <c:pt idx="6">
                  <c:v>-5</c:v>
                </c:pt>
                <c:pt idx="7">
                  <c:v>-5.2384545669500664</c:v>
                </c:pt>
                <c:pt idx="8">
                  <c:v>-5.8962382075353768</c:v>
                </c:pt>
                <c:pt idx="9">
                  <c:v>-6.8536600623316595</c:v>
                </c:pt>
                <c:pt idx="10">
                  <c:v>-8.0039052967910607</c:v>
                </c:pt>
                <c:pt idx="11">
                  <c:v>-9.2755137997848944</c:v>
                </c:pt>
                <c:pt idx="12">
                  <c:v>-10.625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5FB-4172-9B2E-CC9A90417F47}"/>
            </c:ext>
          </c:extLst>
        </c:ser>
        <c:ser>
          <c:idx val="8"/>
          <c:order val="8"/>
          <c:tx>
            <c:v>Lower Limit -</c:v>
          </c:tx>
          <c:spPr>
            <a:ln w="19050" cap="rnd">
              <a:solidFill>
                <a:schemeClr val="tx1">
                  <a:alpha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Sheet2!$J$2:$J$62</c:f>
              <c:numCache>
                <c:formatCode>0.00</c:formatCode>
                <c:ptCount val="61"/>
                <c:pt idx="0">
                  <c:v>-100</c:v>
                </c:pt>
                <c:pt idx="1">
                  <c:v>-91.666666666666671</c:v>
                </c:pt>
                <c:pt idx="2">
                  <c:v>-83.333333333333343</c:v>
                </c:pt>
                <c:pt idx="3">
                  <c:v>-75.000000000000014</c:v>
                </c:pt>
                <c:pt idx="4">
                  <c:v>-66.666666666666686</c:v>
                </c:pt>
                <c:pt idx="5">
                  <c:v>-58.33333333333335</c:v>
                </c:pt>
                <c:pt idx="6">
                  <c:v>-50.000000000000014</c:v>
                </c:pt>
                <c:pt idx="7">
                  <c:v>-41.666666666666679</c:v>
                </c:pt>
                <c:pt idx="8">
                  <c:v>-33.333333333333343</c:v>
                </c:pt>
                <c:pt idx="9">
                  <c:v>-25.000000000000007</c:v>
                </c:pt>
                <c:pt idx="10">
                  <c:v>-16.666666666666671</c:v>
                </c:pt>
                <c:pt idx="11">
                  <c:v>-8.3333333333333375</c:v>
                </c:pt>
                <c:pt idx="12">
                  <c:v>0</c:v>
                </c:pt>
                <c:pt idx="13">
                  <c:v>8.3333333333333339</c:v>
                </c:pt>
                <c:pt idx="14">
                  <c:v>16.666666666666668</c:v>
                </c:pt>
                <c:pt idx="15">
                  <c:v>25</c:v>
                </c:pt>
                <c:pt idx="16">
                  <c:v>33.333333333333336</c:v>
                </c:pt>
                <c:pt idx="17">
                  <c:v>41.666666666666671</c:v>
                </c:pt>
                <c:pt idx="18">
                  <c:v>50.000000000000007</c:v>
                </c:pt>
                <c:pt idx="19">
                  <c:v>58.333333333333343</c:v>
                </c:pt>
                <c:pt idx="20">
                  <c:v>66.666666666666671</c:v>
                </c:pt>
                <c:pt idx="21">
                  <c:v>75</c:v>
                </c:pt>
                <c:pt idx="22">
                  <c:v>83.333333333333329</c:v>
                </c:pt>
                <c:pt idx="23">
                  <c:v>91.666666666666657</c:v>
                </c:pt>
                <c:pt idx="24">
                  <c:v>99.999999999999986</c:v>
                </c:pt>
                <c:pt idx="25">
                  <c:v>108.33333333333331</c:v>
                </c:pt>
                <c:pt idx="26">
                  <c:v>116.66666666666664</c:v>
                </c:pt>
                <c:pt idx="27">
                  <c:v>124.99999999999997</c:v>
                </c:pt>
                <c:pt idx="28">
                  <c:v>133.33333333333331</c:v>
                </c:pt>
                <c:pt idx="29">
                  <c:v>141.66666666666666</c:v>
                </c:pt>
                <c:pt idx="30">
                  <c:v>150</c:v>
                </c:pt>
                <c:pt idx="31">
                  <c:v>158.33333333333334</c:v>
                </c:pt>
                <c:pt idx="32">
                  <c:v>166.66666666666669</c:v>
                </c:pt>
                <c:pt idx="33">
                  <c:v>175.00000000000003</c:v>
                </c:pt>
                <c:pt idx="34">
                  <c:v>183.33333333333337</c:v>
                </c:pt>
                <c:pt idx="35">
                  <c:v>191.66666666666671</c:v>
                </c:pt>
                <c:pt idx="36">
                  <c:v>200.00000000000006</c:v>
                </c:pt>
                <c:pt idx="37">
                  <c:v>208.3333333333334</c:v>
                </c:pt>
                <c:pt idx="38">
                  <c:v>216.66666666666674</c:v>
                </c:pt>
                <c:pt idx="39">
                  <c:v>225.00000000000009</c:v>
                </c:pt>
                <c:pt idx="40">
                  <c:v>233.33333333333343</c:v>
                </c:pt>
                <c:pt idx="41">
                  <c:v>241.66666666666677</c:v>
                </c:pt>
                <c:pt idx="42">
                  <c:v>250.00000000000011</c:v>
                </c:pt>
                <c:pt idx="43">
                  <c:v>258.33333333333343</c:v>
                </c:pt>
                <c:pt idx="44">
                  <c:v>266.66666666666674</c:v>
                </c:pt>
                <c:pt idx="45">
                  <c:v>275.00000000000006</c:v>
                </c:pt>
                <c:pt idx="46">
                  <c:v>283.33333333333337</c:v>
                </c:pt>
                <c:pt idx="47">
                  <c:v>291.66666666666669</c:v>
                </c:pt>
                <c:pt idx="48">
                  <c:v>300</c:v>
                </c:pt>
                <c:pt idx="49">
                  <c:v>308.33333333333331</c:v>
                </c:pt>
                <c:pt idx="50">
                  <c:v>316.66666666666663</c:v>
                </c:pt>
                <c:pt idx="51">
                  <c:v>324.99999999999994</c:v>
                </c:pt>
                <c:pt idx="52">
                  <c:v>333.33333333333326</c:v>
                </c:pt>
                <c:pt idx="53">
                  <c:v>341.66666666666657</c:v>
                </c:pt>
                <c:pt idx="54">
                  <c:v>349.99999999999989</c:v>
                </c:pt>
                <c:pt idx="55">
                  <c:v>358.3333333333332</c:v>
                </c:pt>
                <c:pt idx="56">
                  <c:v>366.66666666666652</c:v>
                </c:pt>
                <c:pt idx="57">
                  <c:v>374.99999999999983</c:v>
                </c:pt>
                <c:pt idx="58">
                  <c:v>383.33333333333314</c:v>
                </c:pt>
                <c:pt idx="59">
                  <c:v>391.66666666666646</c:v>
                </c:pt>
                <c:pt idx="60">
                  <c:v>399.99999999999977</c:v>
                </c:pt>
              </c:numCache>
            </c:numRef>
          </c:xVal>
          <c:yVal>
            <c:numRef>
              <c:f>Sheet2!$R$2:$R$62</c:f>
              <c:numCache>
                <c:formatCode>General</c:formatCode>
                <c:ptCount val="61"/>
                <c:pt idx="0">
                  <c:v>-5.153882032022076</c:v>
                </c:pt>
                <c:pt idx="1">
                  <c:v>-5.129613438435471</c:v>
                </c:pt>
                <c:pt idx="2">
                  <c:v>-5.1073544467213594</c:v>
                </c:pt>
                <c:pt idx="3">
                  <c:v>-5.0871314362811582</c:v>
                </c:pt>
                <c:pt idx="4">
                  <c:v>-5.0689687752485169</c:v>
                </c:pt>
                <c:pt idx="5">
                  <c:v>-5.0528886815145437</c:v>
                </c:pt>
                <c:pt idx="6">
                  <c:v>-5.0389110926865932</c:v>
                </c:pt>
                <c:pt idx="7">
                  <c:v>-5.0270535466723558</c:v>
                </c:pt>
                <c:pt idx="8">
                  <c:v>-5.0173310744967896</c:v>
                </c:pt>
                <c:pt idx="9">
                  <c:v>-5.009756106837937</c:v>
                </c:pt>
                <c:pt idx="10">
                  <c:v>-5.0043383956101302</c:v>
                </c:pt>
                <c:pt idx="11">
                  <c:v>-5.0010849517324187</c:v>
                </c:pt>
                <c:pt idx="12">
                  <c:v>-5</c:v>
                </c:pt>
                <c:pt idx="13">
                  <c:v>-5.0010849517324187</c:v>
                </c:pt>
                <c:pt idx="14">
                  <c:v>-5.0043383956101302</c:v>
                </c:pt>
                <c:pt idx="15">
                  <c:v>-5.009756106837937</c:v>
                </c:pt>
                <c:pt idx="16">
                  <c:v>-5.0173310744967896</c:v>
                </c:pt>
                <c:pt idx="17">
                  <c:v>-5.0270535466723558</c:v>
                </c:pt>
                <c:pt idx="18">
                  <c:v>-5.0389110926865932</c:v>
                </c:pt>
                <c:pt idx="19">
                  <c:v>-5.0528886815145437</c:v>
                </c:pt>
                <c:pt idx="20">
                  <c:v>-5.068968775248516</c:v>
                </c:pt>
                <c:pt idx="21">
                  <c:v>-5.0871314362811582</c:v>
                </c:pt>
                <c:pt idx="22">
                  <c:v>-5.1073544467213594</c:v>
                </c:pt>
                <c:pt idx="23">
                  <c:v>-5.129613438435471</c:v>
                </c:pt>
                <c:pt idx="24">
                  <c:v>-5.153882032022076</c:v>
                </c:pt>
                <c:pt idx="25">
                  <c:v>-5.1801319829818144</c:v>
                </c:pt>
                <c:pt idx="26">
                  <c:v>-5.2083333333333339</c:v>
                </c:pt>
                <c:pt idx="27">
                  <c:v>-5.2384545669500664</c:v>
                </c:pt>
                <c:pt idx="28">
                  <c:v>-5.2704627669472988</c:v>
                </c:pt>
                <c:pt idx="29">
                  <c:v>-5.3043237735308395</c:v>
                </c:pt>
                <c:pt idx="30">
                  <c:v>-5.3400023408234567</c:v>
                </c:pt>
                <c:pt idx="31">
                  <c:v>-5.3774622913084613</c:v>
                </c:pt>
                <c:pt idx="32">
                  <c:v>-5.4166666666666661</c:v>
                </c:pt>
                <c:pt idx="33">
                  <c:v>-5.4575778739290559</c:v>
                </c:pt>
                <c:pt idx="34">
                  <c:v>-5.500157826018369</c:v>
                </c:pt>
                <c:pt idx="35">
                  <c:v>-5.5443680759046945</c:v>
                </c:pt>
                <c:pt idx="36">
                  <c:v>-5.5901699437494745</c:v>
                </c:pt>
                <c:pt idx="37">
                  <c:v>-5.6375246365561704</c:v>
                </c:pt>
                <c:pt idx="38">
                  <c:v>-5.686393359981742</c:v>
                </c:pt>
                <c:pt idx="39">
                  <c:v>-5.7367374220893188</c:v>
                </c:pt>
                <c:pt idx="40">
                  <c:v>-5.7885183289374194</c:v>
                </c:pt>
                <c:pt idx="41">
                  <c:v>-5.8416978720041479</c:v>
                </c:pt>
                <c:pt idx="42">
                  <c:v>-5.8962382075353776</c:v>
                </c:pt>
                <c:pt idx="43">
                  <c:v>-5.9521019279840228</c:v>
                </c:pt>
                <c:pt idx="44">
                  <c:v>-6.0092521257733154</c:v>
                </c:pt>
                <c:pt idx="45">
                  <c:v>-6.067652449671125</c:v>
                </c:pt>
                <c:pt idx="46">
                  <c:v>-6.1272671541053096</c:v>
                </c:pt>
                <c:pt idx="47">
                  <c:v>-6.1880611417829767</c:v>
                </c:pt>
                <c:pt idx="48">
                  <c:v>-6.25</c:v>
                </c:pt>
                <c:pt idx="49">
                  <c:v>-6.3130500310423994</c:v>
                </c:pt>
                <c:pt idx="50">
                  <c:v>-6.3771782770891523</c:v>
                </c:pt>
                <c:pt idx="51">
                  <c:v>-6.4423525400275938</c:v>
                </c:pt>
                <c:pt idx="52">
                  <c:v>-6.5085413965888783</c:v>
                </c:pt>
                <c:pt idx="53">
                  <c:v>-6.5757142092027623</c:v>
                </c:pt>
                <c:pt idx="54">
                  <c:v>-6.6438411329591549</c:v>
                </c:pt>
                <c:pt idx="55">
                  <c:v>-6.7128931190491752</c:v>
                </c:pt>
                <c:pt idx="56">
                  <c:v>-6.7828419150415433</c:v>
                </c:pt>
                <c:pt idx="57">
                  <c:v>-6.8536600623316577</c:v>
                </c:pt>
                <c:pt idx="58">
                  <c:v>-6.9253208910811068</c:v>
                </c:pt>
                <c:pt idx="59">
                  <c:v>-6.9977985129451783</c:v>
                </c:pt>
                <c:pt idx="60">
                  <c:v>-7.0710678118654737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5FB-4172-9B2E-CC9A90417F47}"/>
            </c:ext>
          </c:extLst>
        </c:ser>
        <c:ser>
          <c:idx val="9"/>
          <c:order val="9"/>
          <c:tx>
            <c:v>Lower Limit +</c:v>
          </c:tx>
          <c:spPr>
            <a:ln w="19050" cap="rnd">
              <a:solidFill>
                <a:schemeClr val="tx1">
                  <a:alpha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Sheet2!$J$2:$J$62</c:f>
              <c:numCache>
                <c:formatCode>0.00</c:formatCode>
                <c:ptCount val="61"/>
                <c:pt idx="0">
                  <c:v>-100</c:v>
                </c:pt>
                <c:pt idx="1">
                  <c:v>-91.666666666666671</c:v>
                </c:pt>
                <c:pt idx="2">
                  <c:v>-83.333333333333343</c:v>
                </c:pt>
                <c:pt idx="3">
                  <c:v>-75.000000000000014</c:v>
                </c:pt>
                <c:pt idx="4">
                  <c:v>-66.666666666666686</c:v>
                </c:pt>
                <c:pt idx="5">
                  <c:v>-58.33333333333335</c:v>
                </c:pt>
                <c:pt idx="6">
                  <c:v>-50.000000000000014</c:v>
                </c:pt>
                <c:pt idx="7">
                  <c:v>-41.666666666666679</c:v>
                </c:pt>
                <c:pt idx="8">
                  <c:v>-33.333333333333343</c:v>
                </c:pt>
                <c:pt idx="9">
                  <c:v>-25.000000000000007</c:v>
                </c:pt>
                <c:pt idx="10">
                  <c:v>-16.666666666666671</c:v>
                </c:pt>
                <c:pt idx="11">
                  <c:v>-8.3333333333333375</c:v>
                </c:pt>
                <c:pt idx="12">
                  <c:v>0</c:v>
                </c:pt>
                <c:pt idx="13">
                  <c:v>8.3333333333333339</c:v>
                </c:pt>
                <c:pt idx="14">
                  <c:v>16.666666666666668</c:v>
                </c:pt>
                <c:pt idx="15">
                  <c:v>25</c:v>
                </c:pt>
                <c:pt idx="16">
                  <c:v>33.333333333333336</c:v>
                </c:pt>
                <c:pt idx="17">
                  <c:v>41.666666666666671</c:v>
                </c:pt>
                <c:pt idx="18">
                  <c:v>50.000000000000007</c:v>
                </c:pt>
                <c:pt idx="19">
                  <c:v>58.333333333333343</c:v>
                </c:pt>
                <c:pt idx="20">
                  <c:v>66.666666666666671</c:v>
                </c:pt>
                <c:pt idx="21">
                  <c:v>75</c:v>
                </c:pt>
                <c:pt idx="22">
                  <c:v>83.333333333333329</c:v>
                </c:pt>
                <c:pt idx="23">
                  <c:v>91.666666666666657</c:v>
                </c:pt>
                <c:pt idx="24">
                  <c:v>99.999999999999986</c:v>
                </c:pt>
                <c:pt idx="25">
                  <c:v>108.33333333333331</c:v>
                </c:pt>
                <c:pt idx="26">
                  <c:v>116.66666666666664</c:v>
                </c:pt>
                <c:pt idx="27">
                  <c:v>124.99999999999997</c:v>
                </c:pt>
                <c:pt idx="28">
                  <c:v>133.33333333333331</c:v>
                </c:pt>
                <c:pt idx="29">
                  <c:v>141.66666666666666</c:v>
                </c:pt>
                <c:pt idx="30">
                  <c:v>150</c:v>
                </c:pt>
                <c:pt idx="31">
                  <c:v>158.33333333333334</c:v>
                </c:pt>
                <c:pt idx="32">
                  <c:v>166.66666666666669</c:v>
                </c:pt>
                <c:pt idx="33">
                  <c:v>175.00000000000003</c:v>
                </c:pt>
                <c:pt idx="34">
                  <c:v>183.33333333333337</c:v>
                </c:pt>
                <c:pt idx="35">
                  <c:v>191.66666666666671</c:v>
                </c:pt>
                <c:pt idx="36">
                  <c:v>200.00000000000006</c:v>
                </c:pt>
                <c:pt idx="37">
                  <c:v>208.3333333333334</c:v>
                </c:pt>
                <c:pt idx="38">
                  <c:v>216.66666666666674</c:v>
                </c:pt>
                <c:pt idx="39">
                  <c:v>225.00000000000009</c:v>
                </c:pt>
                <c:pt idx="40">
                  <c:v>233.33333333333343</c:v>
                </c:pt>
                <c:pt idx="41">
                  <c:v>241.66666666666677</c:v>
                </c:pt>
                <c:pt idx="42">
                  <c:v>250.00000000000011</c:v>
                </c:pt>
                <c:pt idx="43">
                  <c:v>258.33333333333343</c:v>
                </c:pt>
                <c:pt idx="44">
                  <c:v>266.66666666666674</c:v>
                </c:pt>
                <c:pt idx="45">
                  <c:v>275.00000000000006</c:v>
                </c:pt>
                <c:pt idx="46">
                  <c:v>283.33333333333337</c:v>
                </c:pt>
                <c:pt idx="47">
                  <c:v>291.66666666666669</c:v>
                </c:pt>
                <c:pt idx="48">
                  <c:v>300</c:v>
                </c:pt>
                <c:pt idx="49">
                  <c:v>308.33333333333331</c:v>
                </c:pt>
                <c:pt idx="50">
                  <c:v>316.66666666666663</c:v>
                </c:pt>
                <c:pt idx="51">
                  <c:v>324.99999999999994</c:v>
                </c:pt>
                <c:pt idx="52">
                  <c:v>333.33333333333326</c:v>
                </c:pt>
                <c:pt idx="53">
                  <c:v>341.66666666666657</c:v>
                </c:pt>
                <c:pt idx="54">
                  <c:v>349.99999999999989</c:v>
                </c:pt>
                <c:pt idx="55">
                  <c:v>358.3333333333332</c:v>
                </c:pt>
                <c:pt idx="56">
                  <c:v>366.66666666666652</c:v>
                </c:pt>
                <c:pt idx="57">
                  <c:v>374.99999999999983</c:v>
                </c:pt>
                <c:pt idx="58">
                  <c:v>383.33333333333314</c:v>
                </c:pt>
                <c:pt idx="59">
                  <c:v>391.66666666666646</c:v>
                </c:pt>
                <c:pt idx="60">
                  <c:v>399.99999999999977</c:v>
                </c:pt>
              </c:numCache>
            </c:numRef>
          </c:xVal>
          <c:yVal>
            <c:numRef>
              <c:f>Sheet2!$S$2:$S$62</c:f>
              <c:numCache>
                <c:formatCode>General</c:formatCode>
                <c:ptCount val="61"/>
                <c:pt idx="0">
                  <c:v>5.153882032022076</c:v>
                </c:pt>
                <c:pt idx="1">
                  <c:v>5.129613438435471</c:v>
                </c:pt>
                <c:pt idx="2">
                  <c:v>5.1073544467213594</c:v>
                </c:pt>
                <c:pt idx="3">
                  <c:v>5.0871314362811582</c:v>
                </c:pt>
                <c:pt idx="4">
                  <c:v>5.0689687752485169</c:v>
                </c:pt>
                <c:pt idx="5">
                  <c:v>5.0528886815145437</c:v>
                </c:pt>
                <c:pt idx="6">
                  <c:v>5.0389110926865932</c:v>
                </c:pt>
                <c:pt idx="7">
                  <c:v>5.0270535466723558</c:v>
                </c:pt>
                <c:pt idx="8">
                  <c:v>5.0173310744967896</c:v>
                </c:pt>
                <c:pt idx="9">
                  <c:v>5.009756106837937</c:v>
                </c:pt>
                <c:pt idx="10">
                  <c:v>5.0043383956101302</c:v>
                </c:pt>
                <c:pt idx="11">
                  <c:v>5.0010849517324187</c:v>
                </c:pt>
                <c:pt idx="12">
                  <c:v>5</c:v>
                </c:pt>
                <c:pt idx="13">
                  <c:v>5.0010849517324187</c:v>
                </c:pt>
                <c:pt idx="14">
                  <c:v>5.0043383956101302</c:v>
                </c:pt>
                <c:pt idx="15">
                  <c:v>5.009756106837937</c:v>
                </c:pt>
                <c:pt idx="16">
                  <c:v>5.0173310744967896</c:v>
                </c:pt>
                <c:pt idx="17">
                  <c:v>5.0270535466723558</c:v>
                </c:pt>
                <c:pt idx="18">
                  <c:v>5.0389110926865932</c:v>
                </c:pt>
                <c:pt idx="19">
                  <c:v>5.0528886815145437</c:v>
                </c:pt>
                <c:pt idx="20">
                  <c:v>5.068968775248516</c:v>
                </c:pt>
                <c:pt idx="21">
                  <c:v>5.0871314362811582</c:v>
                </c:pt>
                <c:pt idx="22">
                  <c:v>5.1073544467213594</c:v>
                </c:pt>
                <c:pt idx="23">
                  <c:v>5.129613438435471</c:v>
                </c:pt>
                <c:pt idx="24">
                  <c:v>5.153882032022076</c:v>
                </c:pt>
                <c:pt idx="25">
                  <c:v>5.1801319829818144</c:v>
                </c:pt>
                <c:pt idx="26">
                  <c:v>5.2083333333333339</c:v>
                </c:pt>
                <c:pt idx="27">
                  <c:v>5.2384545669500664</c:v>
                </c:pt>
                <c:pt idx="28">
                  <c:v>5.2704627669472988</c:v>
                </c:pt>
                <c:pt idx="29">
                  <c:v>5.3043237735308395</c:v>
                </c:pt>
                <c:pt idx="30">
                  <c:v>5.3400023408234567</c:v>
                </c:pt>
                <c:pt idx="31">
                  <c:v>5.3774622913084613</c:v>
                </c:pt>
                <c:pt idx="32">
                  <c:v>5.4166666666666661</c:v>
                </c:pt>
                <c:pt idx="33">
                  <c:v>5.4575778739290559</c:v>
                </c:pt>
                <c:pt idx="34">
                  <c:v>5.500157826018369</c:v>
                </c:pt>
                <c:pt idx="35">
                  <c:v>5.5443680759046945</c:v>
                </c:pt>
                <c:pt idx="36">
                  <c:v>5.5901699437494745</c:v>
                </c:pt>
                <c:pt idx="37">
                  <c:v>5.6375246365561704</c:v>
                </c:pt>
                <c:pt idx="38">
                  <c:v>5.686393359981742</c:v>
                </c:pt>
                <c:pt idx="39">
                  <c:v>5.7367374220893188</c:v>
                </c:pt>
                <c:pt idx="40">
                  <c:v>5.7885183289374194</c:v>
                </c:pt>
                <c:pt idx="41">
                  <c:v>5.8416978720041479</c:v>
                </c:pt>
                <c:pt idx="42">
                  <c:v>5.8962382075353776</c:v>
                </c:pt>
                <c:pt idx="43">
                  <c:v>5.9521019279840228</c:v>
                </c:pt>
                <c:pt idx="44">
                  <c:v>6.0092521257733154</c:v>
                </c:pt>
                <c:pt idx="45">
                  <c:v>6.067652449671125</c:v>
                </c:pt>
                <c:pt idx="46">
                  <c:v>6.1272671541053096</c:v>
                </c:pt>
                <c:pt idx="47">
                  <c:v>6.1880611417829767</c:v>
                </c:pt>
                <c:pt idx="48">
                  <c:v>6.25</c:v>
                </c:pt>
                <c:pt idx="49">
                  <c:v>6.3130500310423994</c:v>
                </c:pt>
                <c:pt idx="50">
                  <c:v>6.3771782770891523</c:v>
                </c:pt>
                <c:pt idx="51">
                  <c:v>6.4423525400275938</c:v>
                </c:pt>
                <c:pt idx="52">
                  <c:v>6.5085413965888783</c:v>
                </c:pt>
                <c:pt idx="53">
                  <c:v>6.5757142092027623</c:v>
                </c:pt>
                <c:pt idx="54">
                  <c:v>6.6438411329591549</c:v>
                </c:pt>
                <c:pt idx="55">
                  <c:v>6.7128931190491752</c:v>
                </c:pt>
                <c:pt idx="56">
                  <c:v>6.7828419150415433</c:v>
                </c:pt>
                <c:pt idx="57">
                  <c:v>6.8536600623316577</c:v>
                </c:pt>
                <c:pt idx="58">
                  <c:v>6.9253208910811068</c:v>
                </c:pt>
                <c:pt idx="59">
                  <c:v>6.9977985129451783</c:v>
                </c:pt>
                <c:pt idx="60">
                  <c:v>7.0710678118654737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5FB-4172-9B2E-CC9A90417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047520"/>
        <c:axId val="438047848"/>
      </c:scatterChart>
      <c:valAx>
        <c:axId val="43804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Distance from Waist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47848"/>
        <c:crosses val="autoZero"/>
        <c:crossBetween val="midCat"/>
      </c:valAx>
      <c:valAx>
        <c:axId val="43804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Beam Dimension (um)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047520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6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ataray.com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image" Target="../media/image3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11</xdr:row>
      <xdr:rowOff>82550</xdr:rowOff>
    </xdr:from>
    <xdr:to>
      <xdr:col>10</xdr:col>
      <xdr:colOff>1591</xdr:colOff>
      <xdr:row>43</xdr:row>
      <xdr:rowOff>0</xdr:rowOff>
    </xdr:to>
    <xdr:pic>
      <xdr:nvPicPr>
        <xdr:cNvPr id="35" name="Picture 34" descr="BeamMap2 puck schematic">
          <a:extLst>
            <a:ext uri="{FF2B5EF4-FFF2-40B4-BE49-F238E27FC236}">
              <a16:creationId xmlns:a16="http://schemas.microsoft.com/office/drawing/2014/main" id="{FA7B0B66-8218-4053-A202-7005F87A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7350" y="2305050"/>
          <a:ext cx="3836989" cy="582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285749</xdr:colOff>
      <xdr:row>10</xdr:row>
      <xdr:rowOff>171816</xdr:rowOff>
    </xdr:from>
    <xdr:to>
      <xdr:col>1</xdr:col>
      <xdr:colOff>2493750</xdr:colOff>
      <xdr:row>14</xdr:row>
      <xdr:rowOff>92075</xdr:rowOff>
    </xdr:to>
    <xdr:pic>
      <xdr:nvPicPr>
        <xdr:cNvPr id="8" name="Picture 7" descr="https://www.dataray.com/assets/images/logos/DR-logo_primary_dark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C9BE21-DB6E-4FC2-9B55-4EA90D6AE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099" y="2197466"/>
          <a:ext cx="2208001" cy="67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488950</xdr:colOff>
      <xdr:row>16</xdr:row>
      <xdr:rowOff>6350</xdr:rowOff>
    </xdr:from>
    <xdr:to>
      <xdr:col>5</xdr:col>
      <xdr:colOff>79502</xdr:colOff>
      <xdr:row>51</xdr:row>
      <xdr:rowOff>35052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98A36903-0B20-4A64-AA57-90BCC2472BF8}"/>
            </a:ext>
          </a:extLst>
        </xdr:cNvPr>
        <xdr:cNvGrpSpPr/>
      </xdr:nvGrpSpPr>
      <xdr:grpSpPr>
        <a:xfrm>
          <a:off x="876300" y="3162300"/>
          <a:ext cx="5559552" cy="6473952"/>
          <a:chOff x="606391" y="2930385"/>
          <a:chExt cx="4972050" cy="5461000"/>
        </a:xfrm>
      </xdr:grpSpPr>
      <xdr:graphicFrame macro="">
        <xdr:nvGraphicFramePr>
          <xdr:cNvPr id="32" name="Chart 31">
            <a:extLst>
              <a:ext uri="{FF2B5EF4-FFF2-40B4-BE49-F238E27FC236}">
                <a16:creationId xmlns:a16="http://schemas.microsoft.com/office/drawing/2014/main" id="{EE127FC4-EEB3-456D-8E5D-4EB9565D1EFA}"/>
              </a:ext>
            </a:extLst>
          </xdr:cNvPr>
          <xdr:cNvGraphicFramePr>
            <a:graphicFrameLocks/>
          </xdr:cNvGraphicFramePr>
        </xdr:nvGraphicFramePr>
        <xdr:xfrm>
          <a:off x="606391" y="2930385"/>
          <a:ext cx="4972050" cy="5461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9" name="Picture 8" descr="https://www.dataray.com/assets/images/logos/DR-logo_primary_dark.png">
            <a:extLst>
              <a:ext uri="{FF2B5EF4-FFF2-40B4-BE49-F238E27FC236}">
                <a16:creationId xmlns:a16="http://schemas.microsoft.com/office/drawing/2014/main" id="{A34A779E-FB21-47BE-B01A-68E065CD12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63947" y="8064727"/>
            <a:ext cx="927100" cy="2851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790390</xdr:colOff>
      <xdr:row>16</xdr:row>
      <xdr:rowOff>0</xdr:rowOff>
    </xdr:from>
    <xdr:to>
      <xdr:col>6</xdr:col>
      <xdr:colOff>1060392</xdr:colOff>
      <xdr:row>51</xdr:row>
      <xdr:rowOff>31750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24F5E5D-839F-44A1-B235-594D2682E33C}"/>
            </a:ext>
          </a:extLst>
        </xdr:cNvPr>
        <xdr:cNvGrpSpPr/>
      </xdr:nvGrpSpPr>
      <xdr:grpSpPr>
        <a:xfrm>
          <a:off x="7146740" y="3155950"/>
          <a:ext cx="5559552" cy="6477000"/>
          <a:chOff x="6299200" y="2965450"/>
          <a:chExt cx="6178550" cy="6959600"/>
        </a:xfrm>
      </xdr:grpSpPr>
      <xdr:graphicFrame macro="">
        <xdr:nvGraphicFramePr>
          <xdr:cNvPr id="34" name="Chart 33">
            <a:extLst>
              <a:ext uri="{FF2B5EF4-FFF2-40B4-BE49-F238E27FC236}">
                <a16:creationId xmlns:a16="http://schemas.microsoft.com/office/drawing/2014/main" id="{48D9BFEC-8A78-4974-8504-F4630568A60D}"/>
              </a:ext>
            </a:extLst>
          </xdr:cNvPr>
          <xdr:cNvGraphicFramePr>
            <a:graphicFrameLocks/>
          </xdr:cNvGraphicFramePr>
        </xdr:nvGraphicFramePr>
        <xdr:xfrm>
          <a:off x="6299200" y="2965450"/>
          <a:ext cx="6178550" cy="6959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pic>
        <xdr:nvPicPr>
          <xdr:cNvPr id="10" name="Picture 9" descr="https://www.dataray.com/assets/images/logos/DR-logo_primary_dark.png">
            <a:extLst>
              <a:ext uri="{FF2B5EF4-FFF2-40B4-BE49-F238E27FC236}">
                <a16:creationId xmlns:a16="http://schemas.microsoft.com/office/drawing/2014/main" id="{B327112F-74A4-4B69-8A7F-2201FFC0F0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19357" y="9496281"/>
            <a:ext cx="1184219" cy="36421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6</xdr:row>
      <xdr:rowOff>139700</xdr:rowOff>
    </xdr:from>
    <xdr:to>
      <xdr:col>25</xdr:col>
      <xdr:colOff>869950</xdr:colOff>
      <xdr:row>25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B6A14B-D266-42F6-B711-88565139DC89}"/>
            </a:ext>
          </a:extLst>
        </xdr:cNvPr>
        <xdr:cNvSpPr txBox="1"/>
      </xdr:nvSpPr>
      <xdr:spPr>
        <a:xfrm>
          <a:off x="22561550" y="1244600"/>
          <a:ext cx="3175000" cy="349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2019.08.28</a:t>
          </a:r>
          <a:r>
            <a:rPr lang="en-US" sz="1100" baseline="0"/>
            <a:t> - Improved support for Excel 2007.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72353-57D4-42D6-B43A-18D621691691}">
  <sheetPr codeName="Sheet1"/>
  <dimension ref="A1:V54"/>
  <sheetViews>
    <sheetView tabSelected="1" zoomScaleNormal="100" workbookViewId="0">
      <selection activeCell="F7" sqref="F7:H7"/>
    </sheetView>
  </sheetViews>
  <sheetFormatPr defaultColWidth="9.1796875" defaultRowHeight="14.5" x14ac:dyDescent="0.35"/>
  <cols>
    <col min="1" max="1" width="5.54296875" style="1" customWidth="1"/>
    <col min="2" max="2" width="38.08984375" style="1" customWidth="1"/>
    <col min="3" max="3" width="30.36328125" style="1" customWidth="1"/>
    <col min="4" max="4" width="5.26953125" style="1" bestFit="1" customWidth="1"/>
    <col min="5" max="5" width="11.7265625" style="1" customWidth="1"/>
    <col min="6" max="6" width="75.7265625" style="1" customWidth="1"/>
    <col min="7" max="7" width="15.1796875" style="1" customWidth="1"/>
    <col min="8" max="8" width="5.26953125" style="1" bestFit="1" customWidth="1"/>
    <col min="9" max="9" width="45.81640625" style="1" customWidth="1"/>
    <col min="10" max="12" width="9.1796875" style="1"/>
    <col min="13" max="13" width="8.6328125" style="1" customWidth="1"/>
    <col min="14" max="14" width="9.1796875" style="1"/>
    <col min="15" max="15" width="12.1796875" style="1" bestFit="1" customWidth="1"/>
    <col min="16" max="16" width="9.1796875" style="1"/>
    <col min="17" max="17" width="16.26953125" style="1" bestFit="1" customWidth="1"/>
    <col min="18" max="18" width="9.1796875" style="1"/>
    <col min="19" max="19" width="14.81640625" style="1" bestFit="1" customWidth="1"/>
    <col min="20" max="21" width="9.1796875" style="1"/>
    <col min="23" max="16384" width="9.1796875" style="1"/>
  </cols>
  <sheetData>
    <row r="1" spans="1:15" ht="19" thickBot="1" x14ac:dyDescent="0.5">
      <c r="B1" s="57" t="s">
        <v>21</v>
      </c>
      <c r="C1" s="57"/>
      <c r="D1" s="57"/>
      <c r="F1" s="58" t="s">
        <v>17</v>
      </c>
      <c r="G1" s="58"/>
      <c r="H1" s="58"/>
      <c r="L1" s="49" t="s">
        <v>43</v>
      </c>
      <c r="M1" s="47" t="s">
        <v>42</v>
      </c>
      <c r="N1" s="53" t="s">
        <v>48</v>
      </c>
      <c r="O1" s="53"/>
    </row>
    <row r="2" spans="1:15" ht="15" thickBot="1" x14ac:dyDescent="0.4">
      <c r="B2" s="54" t="s">
        <v>2</v>
      </c>
      <c r="C2" s="55"/>
      <c r="D2" s="56"/>
      <c r="F2" s="59" t="s">
        <v>3</v>
      </c>
      <c r="G2" s="60"/>
      <c r="H2" s="61"/>
      <c r="L2" s="49">
        <f>C5/J3/1000</f>
        <v>0.10577753042389874</v>
      </c>
      <c r="M2" s="48">
        <f>IF('BeamMap2 Series Choice'!C7=Sheet2!Z1,1,IF('BeamMap2 Series Choice'!C7=Sheet2!Z2,'BeamMap2 Series Choice'!C8,IF(C7=Sheet2!Z3,1/SQRT((1-(C9/C10))^2+((C5/J3/1000)/C10)^2))))</f>
        <v>1</v>
      </c>
      <c r="N2" s="52" t="s">
        <v>49</v>
      </c>
      <c r="O2" s="52" t="str">
        <f>Sheet2!$Z$1</f>
        <v>None</v>
      </c>
    </row>
    <row r="3" spans="1:15" x14ac:dyDescent="0.35">
      <c r="B3" s="19" t="s">
        <v>16</v>
      </c>
      <c r="C3" s="20">
        <v>675</v>
      </c>
      <c r="D3" s="21" t="s">
        <v>0</v>
      </c>
      <c r="F3" s="29" t="s">
        <v>28</v>
      </c>
      <c r="G3" s="50">
        <f>IF(H3=Sheet2!V1,'BeamMap2 Series Choice'!J3*1000,IF(H3=Sheet2!V2,DEGREES('BeamMap2 Series Choice'!J3),IF(H3=Sheet2!V3,SIN('BeamMap2 Series Choice'!J3/2))))</f>
        <v>94.53803619658585</v>
      </c>
      <c r="H3" s="31" t="s">
        <v>1</v>
      </c>
      <c r="J3" s="36">
        <f>C4*4*(C3*10^-9)/(PI()*C5*10^-6)</f>
        <v>9.4538036196585851E-2</v>
      </c>
      <c r="N3" s="52" t="s">
        <v>50</v>
      </c>
      <c r="O3" s="52" t="str">
        <f>Sheet2!Z2</f>
        <v>Reimaging LensPlate2</v>
      </c>
    </row>
    <row r="4" spans="1:15" x14ac:dyDescent="0.35">
      <c r="B4" s="2" t="s">
        <v>15</v>
      </c>
      <c r="C4" s="9">
        <v>1.1000000000000001</v>
      </c>
      <c r="D4" s="3"/>
      <c r="F4" s="2" t="s">
        <v>4</v>
      </c>
      <c r="G4" s="7">
        <f>C5*M2</f>
        <v>10</v>
      </c>
      <c r="H4" s="18" t="s">
        <v>6</v>
      </c>
      <c r="N4" s="52" t="s">
        <v>51</v>
      </c>
      <c r="O4" s="52" t="str">
        <f>Sheet2!Z3</f>
        <v>Focusing LensPlate2</v>
      </c>
    </row>
    <row r="5" spans="1:15" x14ac:dyDescent="0.35">
      <c r="B5" s="2" t="s">
        <v>45</v>
      </c>
      <c r="C5" s="9">
        <v>10</v>
      </c>
      <c r="D5" s="18" t="s">
        <v>6</v>
      </c>
      <c r="F5" s="2" t="s">
        <v>7</v>
      </c>
      <c r="G5" s="50">
        <f>IF(H5=Sheet2!V1,'BeamMap2 Series Choice'!J5*1000,IF(H5=Sheet2!V2,DEGREES('BeamMap2 Series Choice'!J5),IF(H5=Sheet2!V3,SIN('BeamMap2 Series Choice'!J5/2))))</f>
        <v>94.53803619658585</v>
      </c>
      <c r="H5" s="32" t="s">
        <v>1</v>
      </c>
      <c r="J5" s="37">
        <f>C4*4*(C3*10^-9)/(PI()*G4*10^-6)</f>
        <v>9.4538036196585851E-2</v>
      </c>
      <c r="N5" s="52" t="s">
        <v>52</v>
      </c>
      <c r="O5" s="52" t="b">
        <f>Sheet2!F20</f>
        <v>0</v>
      </c>
    </row>
    <row r="6" spans="1:15" ht="15" thickBot="1" x14ac:dyDescent="0.4">
      <c r="B6" s="24" t="s">
        <v>12</v>
      </c>
      <c r="C6" s="25">
        <v>100</v>
      </c>
      <c r="D6" s="26" t="s">
        <v>6</v>
      </c>
      <c r="F6" s="4" t="s">
        <v>5</v>
      </c>
      <c r="G6" s="30">
        <f>G4/J5</f>
        <v>105.77753042389874</v>
      </c>
      <c r="H6" s="8" t="s">
        <v>6</v>
      </c>
      <c r="I6" s="1" t="str">
        <f>IF(Sheet2!G10=TRUE,"Rayleigh length too long for M2 measurement",IF(Sheet2!G9=TRUE,"Rayleigh length too short for M2 measurement",IF(G6,"")))</f>
        <v/>
      </c>
      <c r="N6" s="52" t="s">
        <v>53</v>
      </c>
      <c r="O6" s="52">
        <f>Sheet2!F10</f>
        <v>400</v>
      </c>
    </row>
    <row r="7" spans="1:15" ht="19" thickBot="1" x14ac:dyDescent="0.5">
      <c r="B7" s="38" t="s">
        <v>37</v>
      </c>
      <c r="C7" s="41" t="s">
        <v>40</v>
      </c>
      <c r="D7" s="42"/>
      <c r="F7" s="62" t="str">
        <f>"Product ID: S-BM2-4XY-"&amp;Sheet2!F35&amp;Sheet2!F16&amp;"-"&amp;IF(C6=5000,5,C6)&amp;Sheet2!F23</f>
        <v>Product ID: S-BM2-4XY-Si-100</v>
      </c>
      <c r="G7" s="63"/>
      <c r="H7" s="64"/>
      <c r="N7" s="52" t="s">
        <v>54</v>
      </c>
      <c r="O7" s="52">
        <f>Sheet2!F9</f>
        <v>26.666666666666668</v>
      </c>
    </row>
    <row r="8" spans="1:15" ht="14.5" customHeight="1" thickBot="1" x14ac:dyDescent="0.5">
      <c r="B8" s="44" t="s">
        <v>14</v>
      </c>
      <c r="C8" s="45">
        <v>1</v>
      </c>
      <c r="D8" s="46"/>
      <c r="F8" s="33"/>
      <c r="G8" s="33"/>
      <c r="H8" s="33"/>
      <c r="N8" s="52" t="s">
        <v>55</v>
      </c>
      <c r="O8" s="52">
        <f>Sheet2!E2</f>
        <v>50</v>
      </c>
    </row>
    <row r="9" spans="1:15" x14ac:dyDescent="0.35">
      <c r="B9" s="19" t="s">
        <v>44</v>
      </c>
      <c r="C9" s="39">
        <v>50</v>
      </c>
      <c r="D9" s="40" t="s">
        <v>41</v>
      </c>
      <c r="F9" s="15"/>
      <c r="G9" s="16"/>
      <c r="H9"/>
      <c r="N9" s="52" t="s">
        <v>56</v>
      </c>
      <c r="O9" s="52">
        <f>Sheet2!E3</f>
        <v>100</v>
      </c>
    </row>
    <row r="10" spans="1:15" ht="19" thickBot="1" x14ac:dyDescent="0.5">
      <c r="B10" s="4" t="s">
        <v>36</v>
      </c>
      <c r="C10" s="43">
        <v>50</v>
      </c>
      <c r="D10" s="8" t="s">
        <v>41</v>
      </c>
      <c r="E10"/>
      <c r="F10" s="58" t="s">
        <v>27</v>
      </c>
      <c r="G10" s="58"/>
      <c r="H10" s="58"/>
      <c r="I10" s="27"/>
      <c r="N10" s="52" t="s">
        <v>57</v>
      </c>
      <c r="O10" s="52">
        <f>Sheet2!E4</f>
        <v>250</v>
      </c>
    </row>
    <row r="11" spans="1:15" ht="15.5" customHeight="1" x14ac:dyDescent="0.35">
      <c r="B11" s="72"/>
      <c r="C11" s="71" t="s">
        <v>47</v>
      </c>
      <c r="D11" s="17"/>
      <c r="F11" s="70" t="str">
        <f>IF(AND(F13="",F14="",C6=5000),"This is an acceptable configuration, but requires the large ColliMate model which for M2 should only be used in special cases when standard slit spacing options will not work",IF(AND(F13="",F14=""),"This is an acceptable configuration. Ideally the test beam should be halfway between the Rayleigh Range limits to allow for some error in estimated beam size",IF(TRUE,"")))</f>
        <v>This is an acceptable configuration. Ideally the test beam should be halfway between the Rayleigh Range limits to allow for some error in estimated beam size</v>
      </c>
      <c r="G11" s="70"/>
      <c r="H11" s="70"/>
      <c r="N11" s="52" t="s">
        <v>58</v>
      </c>
      <c r="O11" s="52">
        <f>Sheet2!E5</f>
        <v>500</v>
      </c>
    </row>
    <row r="12" spans="1:15" x14ac:dyDescent="0.35">
      <c r="B12" s="72"/>
      <c r="C12" s="71"/>
      <c r="F12" s="70"/>
      <c r="G12" s="70"/>
      <c r="H12" s="70"/>
      <c r="N12" s="52" t="s">
        <v>59</v>
      </c>
      <c r="O12" s="52">
        <f>Sheet2!E6</f>
        <v>750</v>
      </c>
    </row>
    <row r="13" spans="1:15" ht="14.5" customHeight="1" x14ac:dyDescent="0.35">
      <c r="B13" s="72"/>
      <c r="C13" s="71"/>
      <c r="F13" s="68" t="str">
        <f>IF(AND(NOT(C7=Sheet2!Z1),Sheet2!G10=TRUE,NOT(OR($C$6=750,C6=5000))),"Increase slit spacing or decrease magnification/focal length",IF(AND(NOT(C7=Sheet2!Z1),Sheet2!G10=TRUE),"Decrease magnification/focal length",IF(AND(NOT(OR($C$6=750,$C$6=5000)),Sheet2!G10=TRUE),"Increase Slit Spacing",IF(AND(Sheet2!G10=TRUE,$C$6=5000),"Consider using focusing LensPlate2 and smaller slit spacing, or M2DU stage with Beam'R2 or WinCamD",IF(Sheet2!G10=TRUE,"Consider using focusing lens, ColliMate, or M2 stage with Beam'R2 or WinCamD",IF(1,""))))))</f>
        <v/>
      </c>
      <c r="G13" s="68"/>
      <c r="H13" s="68"/>
      <c r="N13" s="52" t="s">
        <v>60</v>
      </c>
      <c r="O13" s="52">
        <f>Sheet2!E7</f>
        <v>5000</v>
      </c>
    </row>
    <row r="14" spans="1:15" ht="15.5" customHeight="1" x14ac:dyDescent="0.5">
      <c r="B14" s="72"/>
      <c r="C14" s="71"/>
      <c r="D14"/>
      <c r="E14" s="35"/>
      <c r="F14" s="68" t="str">
        <f>IF(AND(NOT(C7=Sheet2!Z1),Sheet2!G9=TRUE,NOT($C$6=50)),"Decrease slit spacing or increase magnification/focal length",IF(AND(NOT(C7=Sheet2!Z1),Sheet2!G9=TRUE),"Increase magnification/focal length",IF(AND(NOT($C$6=50),Sheet2!G9=TRUE),"Decrease Slit Spacing or use LensPlate2",IF(AND(C7=Sheet2!Z1,Sheet2!G9=TRUE),"Use LensPlate2",IF(1,"")))))</f>
        <v/>
      </c>
      <c r="G14" s="68"/>
      <c r="H14" s="68"/>
      <c r="N14" s="52" t="s">
        <v>61</v>
      </c>
      <c r="O14" s="52" t="str">
        <f>Sheet2!V1</f>
        <v>mrad</v>
      </c>
    </row>
    <row r="15" spans="1:15" ht="14.5" customHeight="1" x14ac:dyDescent="0.5">
      <c r="B15" s="72"/>
      <c r="C15" s="71"/>
      <c r="D15" s="22"/>
      <c r="E15" s="34"/>
      <c r="F15" s="66" t="str">
        <f>IF(AND(C7=Sheet2!Z3,L2&lt;20),"Focusing LensPlate2 should only be used for more collimated beams",IF(AND(L2&gt;20,NOT(C7=Sheet2!Z3)),"Consider using focusing LensPlate2",IF(1,"")))</f>
        <v/>
      </c>
      <c r="G15" s="67"/>
      <c r="H15" s="67"/>
      <c r="N15" s="52" t="s">
        <v>62</v>
      </c>
      <c r="O15" s="52" t="str">
        <f>Sheet2!V2</f>
        <v>deg</v>
      </c>
    </row>
    <row r="16" spans="1:15" ht="14.5" customHeight="1" x14ac:dyDescent="0.5">
      <c r="A16" s="35"/>
      <c r="B16" s="69" t="s">
        <v>32</v>
      </c>
      <c r="C16" s="69"/>
      <c r="D16" s="35"/>
      <c r="E16" s="34"/>
      <c r="F16" s="34"/>
      <c r="G16" s="34"/>
      <c r="I16" s="14"/>
      <c r="J16" s="13"/>
      <c r="K16" s="13"/>
      <c r="L16" s="13"/>
      <c r="M16" s="13"/>
      <c r="N16" s="52" t="s">
        <v>63</v>
      </c>
      <c r="O16" s="52" t="str">
        <f>Sheet2!V3</f>
        <v>NA</v>
      </c>
    </row>
    <row r="17" spans="1:15" ht="14.5" customHeight="1" x14ac:dyDescent="0.5">
      <c r="A17" s="35"/>
      <c r="B17" s="65" t="s">
        <v>33</v>
      </c>
      <c r="C17" s="65"/>
      <c r="D17" s="65"/>
      <c r="E17" s="65"/>
      <c r="F17" s="65"/>
      <c r="G17" s="65"/>
      <c r="H17" s="65"/>
      <c r="I17" s="14"/>
      <c r="J17" s="13"/>
      <c r="K17" s="13"/>
      <c r="L17" s="13"/>
      <c r="M17" s="13"/>
      <c r="N17" s="51"/>
      <c r="O17" s="51"/>
    </row>
    <row r="18" spans="1:15" ht="14.5" customHeight="1" x14ac:dyDescent="0.5">
      <c r="A18" s="35"/>
      <c r="B18" s="65"/>
      <c r="C18" s="65"/>
      <c r="D18" s="65"/>
      <c r="E18" s="65"/>
      <c r="F18" s="65"/>
      <c r="G18" s="65"/>
      <c r="H18" s="65"/>
    </row>
    <row r="19" spans="1:15" ht="14.5" customHeight="1" x14ac:dyDescent="0.5">
      <c r="A19" s="35"/>
      <c r="B19" s="65"/>
      <c r="C19" s="65"/>
      <c r="D19" s="65"/>
      <c r="E19" s="65"/>
      <c r="F19" s="65"/>
      <c r="G19" s="65"/>
      <c r="H19" s="65"/>
    </row>
    <row r="20" spans="1:15" ht="14.5" customHeight="1" x14ac:dyDescent="0.5">
      <c r="A20" s="35"/>
      <c r="B20" s="65"/>
      <c r="C20" s="65"/>
      <c r="D20" s="65"/>
      <c r="E20" s="65"/>
      <c r="F20" s="65"/>
      <c r="G20" s="65"/>
      <c r="H20" s="65"/>
    </row>
    <row r="21" spans="1:15" ht="14.5" customHeight="1" x14ac:dyDescent="0.5">
      <c r="A21" s="35"/>
      <c r="B21" s="65"/>
      <c r="C21" s="65"/>
      <c r="D21" s="65"/>
      <c r="E21" s="65"/>
      <c r="F21" s="65"/>
      <c r="G21" s="65"/>
      <c r="H21" s="65"/>
    </row>
    <row r="22" spans="1:15" ht="14.5" customHeight="1" x14ac:dyDescent="0.5">
      <c r="A22" s="35"/>
      <c r="B22" s="65"/>
      <c r="C22" s="65"/>
      <c r="D22" s="65"/>
      <c r="E22" s="65"/>
      <c r="F22" s="65"/>
      <c r="G22" s="65"/>
      <c r="H22" s="65"/>
    </row>
    <row r="23" spans="1:15" ht="14.5" customHeight="1" x14ac:dyDescent="0.5">
      <c r="A23" s="35"/>
      <c r="B23" s="65"/>
      <c r="C23" s="65"/>
      <c r="D23" s="65"/>
      <c r="E23" s="65"/>
      <c r="F23" s="65"/>
      <c r="G23" s="65"/>
      <c r="H23" s="65"/>
    </row>
    <row r="24" spans="1:15" ht="14.5" customHeight="1" x14ac:dyDescent="0.5">
      <c r="A24" s="35"/>
      <c r="B24" s="65"/>
      <c r="C24" s="65"/>
      <c r="D24" s="65"/>
      <c r="E24" s="65"/>
      <c r="F24" s="65"/>
      <c r="G24" s="65"/>
      <c r="H24" s="65"/>
    </row>
    <row r="25" spans="1:15" ht="14.5" customHeight="1" x14ac:dyDescent="0.5">
      <c r="A25" s="35"/>
      <c r="B25" s="65"/>
      <c r="C25" s="65"/>
      <c r="D25" s="65"/>
      <c r="E25" s="65"/>
      <c r="F25" s="65"/>
      <c r="G25" s="65"/>
      <c r="H25" s="65"/>
    </row>
    <row r="26" spans="1:15" ht="14.5" customHeight="1" x14ac:dyDescent="0.5">
      <c r="A26" s="35"/>
      <c r="B26" s="65"/>
      <c r="C26" s="65"/>
      <c r="D26" s="65"/>
      <c r="E26" s="65"/>
      <c r="F26" s="65"/>
      <c r="G26" s="65"/>
      <c r="H26" s="65"/>
    </row>
    <row r="27" spans="1:15" ht="14.5" customHeight="1" x14ac:dyDescent="0.5">
      <c r="A27" s="35"/>
      <c r="B27" s="65"/>
      <c r="C27" s="65"/>
      <c r="D27" s="65"/>
      <c r="E27" s="65"/>
      <c r="F27" s="65"/>
      <c r="G27" s="65"/>
      <c r="H27" s="65"/>
    </row>
    <row r="28" spans="1:15" ht="14.5" customHeight="1" x14ac:dyDescent="0.5">
      <c r="A28" s="35"/>
      <c r="B28" s="65"/>
      <c r="C28" s="65"/>
      <c r="D28" s="65"/>
      <c r="E28" s="65"/>
      <c r="F28" s="65"/>
      <c r="G28" s="65"/>
      <c r="H28" s="65"/>
    </row>
    <row r="29" spans="1:15" ht="14.5" customHeight="1" x14ac:dyDescent="0.5">
      <c r="A29" s="35"/>
      <c r="B29" s="65"/>
      <c r="C29" s="65"/>
      <c r="D29" s="65"/>
      <c r="E29" s="65"/>
      <c r="F29" s="65"/>
      <c r="G29" s="65"/>
      <c r="H29" s="65"/>
    </row>
    <row r="30" spans="1:15" ht="14.5" customHeight="1" x14ac:dyDescent="0.5">
      <c r="A30" s="35"/>
      <c r="B30" s="65"/>
      <c r="C30" s="65"/>
      <c r="D30" s="65"/>
      <c r="E30" s="65"/>
      <c r="F30" s="65"/>
      <c r="G30" s="65"/>
      <c r="H30" s="65"/>
    </row>
    <row r="31" spans="1:15" ht="14.5" customHeight="1" x14ac:dyDescent="0.5">
      <c r="A31" s="35"/>
      <c r="B31" s="65"/>
      <c r="C31" s="65"/>
      <c r="D31" s="65"/>
      <c r="E31" s="65"/>
      <c r="F31" s="65"/>
      <c r="G31" s="65"/>
      <c r="H31" s="65"/>
    </row>
    <row r="32" spans="1:15" ht="14.5" customHeight="1" x14ac:dyDescent="0.5">
      <c r="A32" s="35"/>
      <c r="B32" s="65"/>
      <c r="C32" s="65"/>
      <c r="D32" s="65"/>
      <c r="E32" s="65"/>
      <c r="F32" s="65"/>
      <c r="G32" s="65"/>
      <c r="H32" s="65"/>
    </row>
    <row r="33" spans="1:8" ht="14.5" customHeight="1" x14ac:dyDescent="0.5">
      <c r="A33" s="35"/>
      <c r="B33" s="65"/>
      <c r="C33" s="65"/>
      <c r="D33" s="65"/>
      <c r="E33" s="65"/>
      <c r="F33" s="65"/>
      <c r="G33" s="65"/>
      <c r="H33" s="65"/>
    </row>
    <row r="34" spans="1:8" ht="14.5" customHeight="1" x14ac:dyDescent="0.5">
      <c r="A34" s="35"/>
      <c r="B34" s="65"/>
      <c r="C34" s="65"/>
      <c r="D34" s="65"/>
      <c r="E34" s="65"/>
      <c r="F34" s="65"/>
      <c r="G34" s="65"/>
      <c r="H34" s="65"/>
    </row>
    <row r="35" spans="1:8" ht="14.5" customHeight="1" x14ac:dyDescent="0.5">
      <c r="A35" s="35"/>
      <c r="B35" s="65"/>
      <c r="C35" s="65"/>
      <c r="D35" s="65"/>
      <c r="E35" s="65"/>
      <c r="F35" s="65"/>
      <c r="G35" s="65"/>
      <c r="H35" s="65"/>
    </row>
    <row r="36" spans="1:8" ht="14.5" customHeight="1" x14ac:dyDescent="0.5">
      <c r="A36" s="35"/>
      <c r="B36" s="65"/>
      <c r="C36" s="65"/>
      <c r="D36" s="65"/>
      <c r="E36" s="65"/>
      <c r="F36" s="65"/>
      <c r="G36" s="65"/>
      <c r="H36" s="65"/>
    </row>
    <row r="37" spans="1:8" ht="14.5" customHeight="1" x14ac:dyDescent="0.5">
      <c r="A37" s="35"/>
      <c r="B37" s="65"/>
      <c r="C37" s="65"/>
      <c r="D37" s="65"/>
      <c r="E37" s="65"/>
      <c r="F37" s="65"/>
      <c r="G37" s="65"/>
      <c r="H37" s="65"/>
    </row>
    <row r="38" spans="1:8" ht="14.5" customHeight="1" x14ac:dyDescent="0.5">
      <c r="A38" s="35"/>
      <c r="B38" s="65"/>
      <c r="C38" s="65"/>
      <c r="D38" s="65"/>
      <c r="E38" s="65"/>
      <c r="F38" s="65"/>
      <c r="G38" s="65"/>
      <c r="H38" s="65"/>
    </row>
    <row r="39" spans="1:8" ht="14.5" customHeight="1" x14ac:dyDescent="0.5">
      <c r="A39" s="35"/>
      <c r="B39" s="65"/>
      <c r="C39" s="65"/>
      <c r="D39" s="65"/>
      <c r="E39" s="65"/>
      <c r="F39" s="65"/>
      <c r="G39" s="65"/>
      <c r="H39" s="65"/>
    </row>
    <row r="40" spans="1:8" ht="14.5" customHeight="1" x14ac:dyDescent="0.5">
      <c r="A40" s="35"/>
      <c r="B40" s="65"/>
      <c r="C40" s="65"/>
      <c r="D40" s="65"/>
      <c r="E40" s="65"/>
      <c r="F40" s="65"/>
      <c r="G40" s="65"/>
      <c r="H40" s="65"/>
    </row>
    <row r="41" spans="1:8" ht="14.5" customHeight="1" x14ac:dyDescent="0.5">
      <c r="A41" s="35"/>
      <c r="B41" s="65"/>
      <c r="C41" s="65"/>
      <c r="D41" s="65"/>
      <c r="E41" s="65"/>
      <c r="F41" s="65"/>
      <c r="G41" s="65"/>
      <c r="H41" s="65"/>
    </row>
    <row r="42" spans="1:8" ht="14.5" customHeight="1" x14ac:dyDescent="0.5">
      <c r="A42" s="35"/>
      <c r="B42" s="65"/>
      <c r="C42" s="65"/>
      <c r="D42" s="65"/>
      <c r="E42" s="65"/>
      <c r="F42" s="65"/>
      <c r="G42" s="65"/>
      <c r="H42" s="65"/>
    </row>
    <row r="43" spans="1:8" ht="14.5" customHeight="1" x14ac:dyDescent="0.5">
      <c r="A43" s="35"/>
      <c r="B43" s="65"/>
      <c r="C43" s="65"/>
      <c r="D43" s="65"/>
      <c r="E43" s="65"/>
      <c r="F43" s="65"/>
      <c r="G43" s="65"/>
      <c r="H43" s="65"/>
    </row>
    <row r="44" spans="1:8" ht="14.5" customHeight="1" x14ac:dyDescent="0.5">
      <c r="A44" s="35"/>
      <c r="B44" s="65"/>
      <c r="C44" s="65"/>
      <c r="D44" s="65"/>
      <c r="E44" s="65"/>
      <c r="F44" s="65"/>
      <c r="G44" s="65"/>
      <c r="H44" s="65"/>
    </row>
    <row r="45" spans="1:8" ht="14.5" customHeight="1" x14ac:dyDescent="0.5">
      <c r="A45" s="35"/>
      <c r="B45" s="65"/>
      <c r="C45" s="65"/>
      <c r="D45" s="65"/>
      <c r="E45" s="65"/>
      <c r="F45" s="65"/>
      <c r="G45" s="65"/>
      <c r="H45" s="65"/>
    </row>
    <row r="46" spans="1:8" ht="14.5" customHeight="1" x14ac:dyDescent="0.5">
      <c r="A46" s="35"/>
      <c r="B46" s="65"/>
      <c r="C46" s="65"/>
      <c r="D46" s="65"/>
      <c r="E46" s="65"/>
      <c r="F46" s="65"/>
      <c r="G46" s="65"/>
      <c r="H46" s="65"/>
    </row>
    <row r="47" spans="1:8" ht="14.5" customHeight="1" x14ac:dyDescent="0.5">
      <c r="A47" s="35"/>
      <c r="B47" s="65"/>
      <c r="C47" s="65"/>
      <c r="D47" s="65"/>
      <c r="E47" s="65"/>
      <c r="F47" s="65"/>
      <c r="G47" s="65"/>
      <c r="H47" s="65"/>
    </row>
    <row r="48" spans="1:8" ht="14.5" customHeight="1" x14ac:dyDescent="0.5">
      <c r="A48" s="35"/>
      <c r="B48" s="65"/>
      <c r="C48" s="65"/>
      <c r="D48" s="65"/>
      <c r="E48" s="65"/>
      <c r="F48" s="65"/>
      <c r="G48" s="65"/>
      <c r="H48" s="65"/>
    </row>
    <row r="49" spans="1:8" ht="14.5" customHeight="1" x14ac:dyDescent="0.5">
      <c r="A49" s="35"/>
      <c r="B49" s="65"/>
      <c r="C49" s="65"/>
      <c r="D49" s="65"/>
      <c r="E49" s="65"/>
      <c r="F49" s="65"/>
      <c r="G49" s="65"/>
      <c r="H49" s="65"/>
    </row>
    <row r="50" spans="1:8" ht="14.5" customHeight="1" x14ac:dyDescent="0.5">
      <c r="A50" s="35"/>
      <c r="B50" s="65"/>
      <c r="C50" s="65"/>
      <c r="D50" s="65"/>
      <c r="E50" s="65"/>
      <c r="F50" s="65"/>
      <c r="G50" s="65"/>
      <c r="H50" s="65"/>
    </row>
    <row r="51" spans="1:8" ht="14.5" customHeight="1" x14ac:dyDescent="0.5">
      <c r="A51" s="35"/>
      <c r="B51" s="65"/>
      <c r="C51" s="65"/>
      <c r="D51" s="65"/>
      <c r="E51" s="65"/>
      <c r="F51" s="65"/>
      <c r="G51" s="65"/>
      <c r="H51" s="65"/>
    </row>
    <row r="52" spans="1:8" ht="21" customHeight="1" x14ac:dyDescent="0.5">
      <c r="A52" s="35"/>
      <c r="B52" s="65"/>
      <c r="C52" s="65"/>
      <c r="D52" s="65"/>
      <c r="E52" s="65"/>
      <c r="F52" s="65"/>
      <c r="G52" s="65"/>
      <c r="H52" s="65"/>
    </row>
    <row r="53" spans="1:8" ht="14.5" customHeight="1" x14ac:dyDescent="0.5">
      <c r="A53" s="35"/>
      <c r="B53" s="65"/>
      <c r="C53" s="65"/>
      <c r="D53" s="65"/>
      <c r="E53" s="65"/>
      <c r="F53" s="65"/>
      <c r="G53" s="65"/>
      <c r="H53" s="65"/>
    </row>
    <row r="54" spans="1:8" ht="21" x14ac:dyDescent="0.5">
      <c r="B54" s="35"/>
      <c r="C54" s="35"/>
      <c r="D54" s="35"/>
      <c r="E54" s="35"/>
      <c r="F54" s="35"/>
      <c r="G54" s="35"/>
    </row>
  </sheetData>
  <sheetProtection sheet="1" objects="1" scenarios="1"/>
  <mergeCells count="15">
    <mergeCell ref="F7:H7"/>
    <mergeCell ref="B17:H53"/>
    <mergeCell ref="F15:H15"/>
    <mergeCell ref="F13:H13"/>
    <mergeCell ref="F14:H14"/>
    <mergeCell ref="F10:H10"/>
    <mergeCell ref="B16:C16"/>
    <mergeCell ref="F11:H12"/>
    <mergeCell ref="C11:C15"/>
    <mergeCell ref="B11:B15"/>
    <mergeCell ref="N1:O1"/>
    <mergeCell ref="B2:D2"/>
    <mergeCell ref="B1:D1"/>
    <mergeCell ref="F1:H1"/>
    <mergeCell ref="F2:H2"/>
  </mergeCells>
  <conditionalFormatting sqref="F11 F7:H7">
    <cfRule type="expression" dxfId="11" priority="9">
      <formula>AND($C$6=5000,$F$13="",$F$14="")</formula>
    </cfRule>
  </conditionalFormatting>
  <conditionalFormatting sqref="B9:D10">
    <cfRule type="expression" dxfId="10" priority="1">
      <formula>$C$7=$O$3</formula>
    </cfRule>
    <cfRule type="expression" dxfId="9" priority="12">
      <formula>$C$7=$O$2</formula>
    </cfRule>
  </conditionalFormatting>
  <conditionalFormatting sqref="F6:H6">
    <cfRule type="expression" dxfId="8" priority="6">
      <formula>$G$6&gt;$O$6</formula>
    </cfRule>
    <cfRule type="expression" dxfId="7" priority="7">
      <formula>$G$6&lt;$O$7</formula>
    </cfRule>
  </conditionalFormatting>
  <conditionalFormatting sqref="F7:H7">
    <cfRule type="expression" dxfId="6" priority="4">
      <formula>$O$5=FALSE</formula>
    </cfRule>
    <cfRule type="expression" dxfId="5" priority="5">
      <formula>$O$5=TRUE</formula>
    </cfRule>
  </conditionalFormatting>
  <conditionalFormatting sqref="B8:D8">
    <cfRule type="expression" dxfId="4" priority="15">
      <formula>$C$7=$O$2</formula>
    </cfRule>
    <cfRule type="expression" dxfId="3" priority="17">
      <formula>$C$7=$O$4</formula>
    </cfRule>
  </conditionalFormatting>
  <conditionalFormatting sqref="B10:D10">
    <cfRule type="expression" dxfId="2" priority="20">
      <formula>$C$7=$O$3</formula>
    </cfRule>
  </conditionalFormatting>
  <conditionalFormatting sqref="B9:D9">
    <cfRule type="expression" dxfId="1" priority="18">
      <formula>$C$7=$O$3</formula>
    </cfRule>
  </conditionalFormatting>
  <conditionalFormatting sqref="F7 F15">
    <cfRule type="expression" dxfId="0" priority="2">
      <formula>AND($L$2&lt;20,$C$7=$O$4)</formula>
    </cfRule>
  </conditionalFormatting>
  <dataValidations count="5">
    <dataValidation type="custom" allowBlank="1" showInputMessage="1" showErrorMessage="1" sqref="C4" xr:uid="{D693D23E-7C27-485E-837D-923863E8E8F5}">
      <formula1>C4&gt;=1</formula1>
    </dataValidation>
    <dataValidation type="whole" allowBlank="1" showInputMessage="1" showErrorMessage="1" sqref="C3" xr:uid="{1F909E00-BF3B-4720-B081-2188C3370B2F}">
      <formula1>190</formula1>
      <formula2>2500</formula2>
    </dataValidation>
    <dataValidation type="list" allowBlank="1" showInputMessage="1" showErrorMessage="1" sqref="C6" xr:uid="{A2968BD0-0C07-4DD6-9AA2-3428DD56C6D5}">
      <formula1>$O$8:$O$13</formula1>
    </dataValidation>
    <dataValidation type="list" allowBlank="1" showInputMessage="1" showErrorMessage="1" sqref="H5 H3" xr:uid="{261A21FF-AF10-402E-8493-73903767C302}">
      <formula1>$O$14:$O$16</formula1>
    </dataValidation>
    <dataValidation type="list" allowBlank="1" showInputMessage="1" showErrorMessage="1" sqref="C7" xr:uid="{D18B1C27-D8E8-4B29-9C02-044346200B07}">
      <formula1>$O$2:$O$4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04E9-EE6D-4795-BE08-B62E19A8AB52}">
  <sheetPr codeName="Sheet2"/>
  <dimension ref="A1:Z62"/>
  <sheetViews>
    <sheetView topLeftCell="D1" workbookViewId="0">
      <selection activeCell="F58" sqref="F58"/>
    </sheetView>
  </sheetViews>
  <sheetFormatPr defaultRowHeight="14.5" x14ac:dyDescent="0.35"/>
  <cols>
    <col min="1" max="1" width="29.36328125" bestFit="1" customWidth="1"/>
    <col min="2" max="2" width="22.36328125" bestFit="1" customWidth="1"/>
    <col min="3" max="3" width="25.6328125" bestFit="1" customWidth="1"/>
    <col min="6" max="6" width="28.26953125" bestFit="1" customWidth="1"/>
    <col min="10" max="10" width="17.81640625" bestFit="1" customWidth="1"/>
    <col min="11" max="11" width="11.81640625" bestFit="1" customWidth="1"/>
    <col min="14" max="14" width="26" bestFit="1" customWidth="1"/>
    <col min="15" max="16" width="26" customWidth="1"/>
    <col min="17" max="17" width="11.81640625" bestFit="1" customWidth="1"/>
    <col min="26" max="26" width="18.81640625" bestFit="1" customWidth="1"/>
  </cols>
  <sheetData>
    <row r="1" spans="1:26" x14ac:dyDescent="0.35">
      <c r="A1" s="5"/>
      <c r="B1" s="5"/>
      <c r="C1" s="5"/>
      <c r="D1" t="s">
        <v>13</v>
      </c>
      <c r="E1">
        <v>0</v>
      </c>
      <c r="I1" t="s">
        <v>8</v>
      </c>
      <c r="J1" t="s">
        <v>9</v>
      </c>
      <c r="K1" t="s">
        <v>10</v>
      </c>
      <c r="L1" s="73" t="s">
        <v>11</v>
      </c>
      <c r="M1" s="73"/>
      <c r="N1" t="s">
        <v>18</v>
      </c>
      <c r="O1" s="73" t="s">
        <v>11</v>
      </c>
      <c r="P1" s="73"/>
      <c r="Q1" t="s">
        <v>19</v>
      </c>
      <c r="R1" s="73" t="s">
        <v>11</v>
      </c>
      <c r="S1" s="73"/>
      <c r="V1" t="s">
        <v>1</v>
      </c>
      <c r="X1" t="s">
        <v>34</v>
      </c>
      <c r="Z1" t="s">
        <v>40</v>
      </c>
    </row>
    <row r="2" spans="1:26" x14ac:dyDescent="0.35">
      <c r="A2" s="6"/>
      <c r="B2" s="6"/>
      <c r="C2" s="6"/>
      <c r="D2" s="10">
        <v>0.05</v>
      </c>
      <c r="E2" s="11">
        <f>D2*1000</f>
        <v>50</v>
      </c>
      <c r="F2" s="11" t="str">
        <f>"-"&amp;'BeamMap2 Series Choice'!$C$6&amp;" μm Slit Plane"</f>
        <v>-100 μm Slit Plane</v>
      </c>
      <c r="I2" s="1">
        <v>0</v>
      </c>
      <c r="J2" s="12">
        <f>-'BeamMap2 Series Choice'!C6</f>
        <v>-100</v>
      </c>
      <c r="K2" s="6">
        <f>'BeamMap2 Series Choice'!$G$4*(SQRT(1+((J2)^2/'BeamMap2 Series Choice'!$G$6^2)))</f>
        <v>13.761337248940226</v>
      </c>
      <c r="L2" s="1">
        <f t="shared" ref="L2:L33" si="0">-K2/2</f>
        <v>-6.880668624470113</v>
      </c>
      <c r="M2" s="1">
        <f t="shared" ref="M2:M33" si="1">K2/2</f>
        <v>6.880668624470113</v>
      </c>
      <c r="N2" s="1">
        <f>'BeamMap2 Series Choice'!$G$4*(SQRT(1+((J2)^2/($F$9)^2)))</f>
        <v>38.810436740650054</v>
      </c>
      <c r="O2" s="1">
        <f>-N2/2</f>
        <v>-19.405218370325027</v>
      </c>
      <c r="P2" s="1">
        <f t="shared" ref="P2" si="2">N2/2</f>
        <v>19.405218370325027</v>
      </c>
      <c r="Q2">
        <f>'BeamMap2 Series Choice'!$G$4*(SQRT(1+((J2)^2/($F$10)^2)))</f>
        <v>10.307764064044152</v>
      </c>
      <c r="R2" s="1">
        <f>-Q2/2</f>
        <v>-5.153882032022076</v>
      </c>
      <c r="S2" s="1">
        <f t="shared" ref="S2" si="3">Q2/2</f>
        <v>5.153882032022076</v>
      </c>
      <c r="V2" t="s">
        <v>30</v>
      </c>
      <c r="X2" t="s">
        <v>35</v>
      </c>
      <c r="Z2" t="s">
        <v>38</v>
      </c>
    </row>
    <row r="3" spans="1:26" x14ac:dyDescent="0.35">
      <c r="A3" s="6"/>
      <c r="B3" s="6"/>
      <c r="C3" s="6"/>
      <c r="D3" s="10">
        <v>0.1</v>
      </c>
      <c r="E3" s="11">
        <f t="shared" ref="E3:E7" si="4">D3*1000</f>
        <v>100</v>
      </c>
      <c r="F3" s="11" t="str">
        <f>('BeamMap2 Series Choice'!$C$6-'BeamMap2 Series Choice'!$C$6)&amp;" μm Slit Plane"</f>
        <v>0 μm Slit Plane</v>
      </c>
      <c r="I3" s="1">
        <v>1</v>
      </c>
      <c r="J3" s="12">
        <f>J2+ABS($J$2)*5/60</f>
        <v>-91.666666666666671</v>
      </c>
      <c r="K3" s="6">
        <f>'BeamMap2 Series Choice'!$G$4*(SQRT(1+((J3)^2/'BeamMap2 Series Choice'!$G$6^2)))</f>
        <v>13.23251014136927</v>
      </c>
      <c r="L3" s="1">
        <f t="shared" si="0"/>
        <v>-6.6162550706846348</v>
      </c>
      <c r="M3" s="1">
        <f t="shared" si="1"/>
        <v>6.6162550706846348</v>
      </c>
      <c r="N3" s="1">
        <f>'BeamMap2 Series Choice'!$G$4*(SQRT(1+((J3)^2/($F$9)^2)))</f>
        <v>35.80000872904921</v>
      </c>
      <c r="O3" s="1">
        <f t="shared" ref="O3:O62" si="5">-N3/2</f>
        <v>-17.900004364524605</v>
      </c>
      <c r="P3" s="1">
        <f t="shared" ref="P3:P62" si="6">N3/2</f>
        <v>17.900004364524605</v>
      </c>
      <c r="Q3">
        <f>'BeamMap2 Series Choice'!$G$4*(SQRT(1+((J3)^2/($F$10)^2)))</f>
        <v>10.259226876870942</v>
      </c>
      <c r="R3" s="1">
        <f t="shared" ref="R3:R62" si="7">-Q3/2</f>
        <v>-5.129613438435471</v>
      </c>
      <c r="S3" s="1">
        <f t="shared" ref="S3:S62" si="8">Q3/2</f>
        <v>5.129613438435471</v>
      </c>
      <c r="V3" t="s">
        <v>31</v>
      </c>
      <c r="Z3" t="s">
        <v>39</v>
      </c>
    </row>
    <row r="4" spans="1:26" x14ac:dyDescent="0.35">
      <c r="A4" s="6"/>
      <c r="B4" s="6"/>
      <c r="C4" s="6"/>
      <c r="D4" s="10">
        <v>0.25</v>
      </c>
      <c r="E4" s="11">
        <f t="shared" si="4"/>
        <v>250</v>
      </c>
      <c r="F4" s="11" t="str">
        <f>"+"&amp;('BeamMap2 Series Choice'!$C$6)&amp;" μm Slit Plane"</f>
        <v>+100 μm Slit Plane</v>
      </c>
      <c r="I4" s="1">
        <v>2</v>
      </c>
      <c r="J4" s="12">
        <f t="shared" ref="J4:J62" si="9">J3+ABS($J$2)*5/60</f>
        <v>-83.333333333333343</v>
      </c>
      <c r="K4" s="6">
        <f>'BeamMap2 Series Choice'!$G$4*(SQRT(1+((J4)^2/'BeamMap2 Series Choice'!$G$6^2)))</f>
        <v>12.730497144845112</v>
      </c>
      <c r="L4" s="1">
        <f t="shared" si="0"/>
        <v>-6.3652485724225558</v>
      </c>
      <c r="M4" s="1">
        <f t="shared" si="1"/>
        <v>6.3652485724225558</v>
      </c>
      <c r="N4" s="1">
        <f>'BeamMap2 Series Choice'!$G$4*(SQRT(1+((J4)^2/($F$9)^2)))</f>
        <v>32.811011871016717</v>
      </c>
      <c r="O4" s="1">
        <f t="shared" si="5"/>
        <v>-16.405505935508359</v>
      </c>
      <c r="P4" s="1">
        <f t="shared" si="6"/>
        <v>16.405505935508359</v>
      </c>
      <c r="Q4">
        <f>'BeamMap2 Series Choice'!$G$4*(SQRT(1+((J4)^2/($F$10)^2)))</f>
        <v>10.214708893442719</v>
      </c>
      <c r="R4" s="1">
        <f t="shared" si="7"/>
        <v>-5.1073544467213594</v>
      </c>
      <c r="S4" s="1">
        <f t="shared" si="8"/>
        <v>5.1073544467213594</v>
      </c>
    </row>
    <row r="5" spans="1:26" x14ac:dyDescent="0.35">
      <c r="A5" s="6"/>
      <c r="B5" s="6"/>
      <c r="C5" s="6"/>
      <c r="D5" s="10">
        <v>0.5</v>
      </c>
      <c r="E5" s="11">
        <f t="shared" si="4"/>
        <v>500</v>
      </c>
      <c r="F5" s="11" t="str">
        <f>"+"&amp;('BeamMap2 Series Choice'!$C$6*4)&amp;" μm Slit Plane"</f>
        <v>+400 μm Slit Plane</v>
      </c>
      <c r="I5" s="1">
        <v>3</v>
      </c>
      <c r="J5" s="12">
        <f t="shared" si="9"/>
        <v>-75.000000000000014</v>
      </c>
      <c r="K5" s="6">
        <f>'BeamMap2 Series Choice'!$G$4*(SQRT(1+((J5)^2/'BeamMap2 Series Choice'!$G$6^2)))</f>
        <v>12.25859297062582</v>
      </c>
      <c r="L5" s="1">
        <f t="shared" si="0"/>
        <v>-6.1292964853129099</v>
      </c>
      <c r="M5" s="1">
        <f t="shared" si="1"/>
        <v>6.1292964853129099</v>
      </c>
      <c r="N5" s="1">
        <f>'BeamMap2 Series Choice'!$G$4*(SQRT(1+((J5)^2/($F$9)^2)))</f>
        <v>29.849884840648887</v>
      </c>
      <c r="O5" s="1">
        <f t="shared" si="5"/>
        <v>-14.924942420324443</v>
      </c>
      <c r="P5" s="1">
        <f t="shared" si="6"/>
        <v>14.924942420324443</v>
      </c>
      <c r="Q5">
        <f>'BeamMap2 Series Choice'!$G$4*(SQRT(1+((J5)^2/($F$10)^2)))</f>
        <v>10.174262872562316</v>
      </c>
      <c r="R5" s="1">
        <f t="shared" si="7"/>
        <v>-5.0871314362811582</v>
      </c>
      <c r="S5" s="1">
        <f t="shared" si="8"/>
        <v>5.0871314362811582</v>
      </c>
    </row>
    <row r="6" spans="1:26" x14ac:dyDescent="0.35">
      <c r="A6" s="6"/>
      <c r="B6" s="6"/>
      <c r="C6" s="6"/>
      <c r="D6" s="10">
        <v>0.75</v>
      </c>
      <c r="E6" s="11">
        <f t="shared" si="4"/>
        <v>750</v>
      </c>
      <c r="F6" s="11"/>
      <c r="I6" s="1">
        <v>4</v>
      </c>
      <c r="J6" s="12">
        <f t="shared" si="9"/>
        <v>-66.666666666666686</v>
      </c>
      <c r="K6" s="6">
        <f>'BeamMap2 Series Choice'!$G$4*(SQRT(1+((J6)^2/'BeamMap2 Series Choice'!$G$6^2)))</f>
        <v>11.820404258532875</v>
      </c>
      <c r="L6" s="1">
        <f t="shared" si="0"/>
        <v>-5.9102021292664375</v>
      </c>
      <c r="M6" s="1">
        <f t="shared" si="1"/>
        <v>5.9102021292664375</v>
      </c>
      <c r="N6" s="1">
        <f>'BeamMap2 Series Choice'!$G$4*(SQRT(1+((J6)^2/($F$9)^2)))</f>
        <v>26.925824035672523</v>
      </c>
      <c r="O6" s="1">
        <f t="shared" si="5"/>
        <v>-13.462912017836262</v>
      </c>
      <c r="P6" s="1">
        <f t="shared" si="6"/>
        <v>13.462912017836262</v>
      </c>
      <c r="Q6">
        <f>'BeamMap2 Series Choice'!$G$4*(SQRT(1+((J6)^2/($F$10)^2)))</f>
        <v>10.137937550497034</v>
      </c>
      <c r="R6" s="1">
        <f t="shared" si="7"/>
        <v>-5.0689687752485169</v>
      </c>
      <c r="S6" s="1">
        <f t="shared" si="8"/>
        <v>5.0689687752485169</v>
      </c>
    </row>
    <row r="7" spans="1:26" x14ac:dyDescent="0.35">
      <c r="A7" s="6"/>
      <c r="B7" s="6"/>
      <c r="C7" s="6"/>
      <c r="D7" s="10">
        <v>5</v>
      </c>
      <c r="E7" s="11">
        <f t="shared" si="4"/>
        <v>5000</v>
      </c>
      <c r="F7" s="11"/>
      <c r="I7" s="1">
        <v>5</v>
      </c>
      <c r="J7" s="12">
        <f t="shared" si="9"/>
        <v>-58.33333333333335</v>
      </c>
      <c r="K7" s="6">
        <f>'BeamMap2 Series Choice'!$G$4*(SQRT(1+((J7)^2/'BeamMap2 Series Choice'!$G$6^2)))</f>
        <v>11.419812748110438</v>
      </c>
      <c r="L7" s="1">
        <f t="shared" si="0"/>
        <v>-5.7099063740552189</v>
      </c>
      <c r="M7" s="1">
        <f t="shared" si="1"/>
        <v>5.7099063740552189</v>
      </c>
      <c r="N7" s="1">
        <f>'BeamMap2 Series Choice'!$G$4*(SQRT(1+((J7)^2/($F$9)^2)))</f>
        <v>24.052351756117325</v>
      </c>
      <c r="O7" s="1">
        <f t="shared" si="5"/>
        <v>-12.026175878058663</v>
      </c>
      <c r="P7" s="1">
        <f t="shared" si="6"/>
        <v>12.026175878058663</v>
      </c>
      <c r="Q7">
        <f>'BeamMap2 Series Choice'!$G$4*(SQRT(1+((J7)^2/($F$10)^2)))</f>
        <v>10.105777363029087</v>
      </c>
      <c r="R7" s="1">
        <f t="shared" si="7"/>
        <v>-5.0528886815145437</v>
      </c>
      <c r="S7" s="1">
        <f t="shared" si="8"/>
        <v>5.0528886815145437</v>
      </c>
    </row>
    <row r="8" spans="1:26" x14ac:dyDescent="0.35">
      <c r="A8" s="6"/>
      <c r="B8" s="6"/>
      <c r="C8" s="6"/>
      <c r="D8" s="10"/>
      <c r="E8" s="11"/>
      <c r="F8" s="11" t="s">
        <v>20</v>
      </c>
      <c r="I8" s="1">
        <v>6</v>
      </c>
      <c r="J8" s="12">
        <f t="shared" si="9"/>
        <v>-50.000000000000014</v>
      </c>
      <c r="K8" s="6">
        <f>'BeamMap2 Series Choice'!$G$4*(SQRT(1+((J8)^2/'BeamMap2 Series Choice'!$G$6^2)))</f>
        <v>11.06090415471391</v>
      </c>
      <c r="L8" s="1">
        <f t="shared" si="0"/>
        <v>-5.530452077356955</v>
      </c>
      <c r="M8" s="1">
        <f t="shared" si="1"/>
        <v>5.530452077356955</v>
      </c>
      <c r="N8" s="1">
        <f>'BeamMap2 Series Choice'!$G$4*(SQRT(1+((J8)^2/($F$9)^2)))</f>
        <v>21.250000000000004</v>
      </c>
      <c r="O8" s="1">
        <f t="shared" si="5"/>
        <v>-10.625000000000002</v>
      </c>
      <c r="P8" s="1">
        <f t="shared" si="6"/>
        <v>10.625000000000002</v>
      </c>
      <c r="Q8">
        <f>'BeamMap2 Series Choice'!$G$4*(SQRT(1+((J8)^2/($F$10)^2)))</f>
        <v>10.077822185373186</v>
      </c>
      <c r="R8" s="1">
        <f t="shared" si="7"/>
        <v>-5.0389110926865932</v>
      </c>
      <c r="S8" s="1">
        <f t="shared" si="8"/>
        <v>5.0389110926865932</v>
      </c>
    </row>
    <row r="9" spans="1:26" x14ac:dyDescent="0.35">
      <c r="A9" s="6"/>
      <c r="B9" s="6"/>
      <c r="C9" s="6"/>
      <c r="D9" s="10"/>
      <c r="E9" s="11"/>
      <c r="F9" s="11">
        <f>4*'BeamMap2 Series Choice'!$C$6/15</f>
        <v>26.666666666666668</v>
      </c>
      <c r="G9" t="b">
        <f>'BeamMap2 Series Choice'!$G$6&lt;Sheet2!F9</f>
        <v>0</v>
      </c>
      <c r="I9" s="1">
        <v>7</v>
      </c>
      <c r="J9" s="12">
        <f t="shared" si="9"/>
        <v>-41.666666666666679</v>
      </c>
      <c r="K9" s="6">
        <f>'BeamMap2 Series Choice'!$G$4*(SQRT(1+((J9)^2/'BeamMap2 Series Choice'!$G$6^2)))</f>
        <v>10.747855106425998</v>
      </c>
      <c r="L9" s="1">
        <f t="shared" si="0"/>
        <v>-5.3739275532129991</v>
      </c>
      <c r="M9" s="1">
        <f t="shared" si="1"/>
        <v>5.3739275532129991</v>
      </c>
      <c r="N9" s="1">
        <f>'BeamMap2 Series Choice'!$G$4*(SQRT(1+((J9)^2/($F$9)^2)))</f>
        <v>18.551027599569789</v>
      </c>
      <c r="O9" s="1">
        <f t="shared" si="5"/>
        <v>-9.2755137997848944</v>
      </c>
      <c r="P9" s="1">
        <f t="shared" si="6"/>
        <v>9.2755137997848944</v>
      </c>
      <c r="Q9">
        <f>'BeamMap2 Series Choice'!$G$4*(SQRT(1+((J9)^2/($F$10)^2)))</f>
        <v>10.054107093344712</v>
      </c>
      <c r="R9" s="1">
        <f t="shared" si="7"/>
        <v>-5.0270535466723558</v>
      </c>
      <c r="S9" s="1">
        <f t="shared" si="8"/>
        <v>5.0270535466723558</v>
      </c>
    </row>
    <row r="10" spans="1:26" x14ac:dyDescent="0.35">
      <c r="A10" s="6"/>
      <c r="B10" s="6"/>
      <c r="C10" s="6"/>
      <c r="D10" s="10"/>
      <c r="E10" s="11"/>
      <c r="F10" s="23">
        <f>4*'BeamMap2 Series Choice'!$C$6/1</f>
        <v>400</v>
      </c>
      <c r="G10" t="b">
        <f>'BeamMap2 Series Choice'!$G$6&gt;Sheet2!F10</f>
        <v>0</v>
      </c>
      <c r="I10" s="1">
        <v>8</v>
      </c>
      <c r="J10" s="12">
        <f t="shared" si="9"/>
        <v>-33.333333333333343</v>
      </c>
      <c r="K10" s="6">
        <f>'BeamMap2 Series Choice'!$G$4*(SQRT(1+((J10)^2/'BeamMap2 Series Choice'!$G$6^2)))</f>
        <v>10.484774161076887</v>
      </c>
      <c r="L10" s="1">
        <f t="shared" si="0"/>
        <v>-5.2423870805384434</v>
      </c>
      <c r="M10" s="1">
        <f t="shared" si="1"/>
        <v>5.2423870805384434</v>
      </c>
      <c r="N10" s="1">
        <f>'BeamMap2 Series Choice'!$G$4*(SQRT(1+((J10)^2/($F$9)^2)))</f>
        <v>16.007810593582125</v>
      </c>
      <c r="O10" s="1">
        <f t="shared" si="5"/>
        <v>-8.0039052967910624</v>
      </c>
      <c r="P10" s="1">
        <f t="shared" si="6"/>
        <v>8.0039052967910624</v>
      </c>
      <c r="Q10">
        <f>'BeamMap2 Series Choice'!$G$4*(SQRT(1+((J10)^2/($F$10)^2)))</f>
        <v>10.034662148993579</v>
      </c>
      <c r="R10" s="1">
        <f t="shared" si="7"/>
        <v>-5.0173310744967896</v>
      </c>
      <c r="S10" s="1">
        <f t="shared" si="8"/>
        <v>5.0173310744967896</v>
      </c>
    </row>
    <row r="11" spans="1:26" x14ac:dyDescent="0.35">
      <c r="A11" s="6"/>
      <c r="B11" s="6"/>
      <c r="C11" s="6"/>
      <c r="D11" s="10"/>
      <c r="E11" s="11"/>
      <c r="F11" s="11"/>
      <c r="I11" s="1">
        <v>9</v>
      </c>
      <c r="J11" s="12">
        <f t="shared" si="9"/>
        <v>-25.000000000000007</v>
      </c>
      <c r="K11" s="6">
        <f>'BeamMap2 Series Choice'!$G$4*(SQRT(1+((J11)^2/'BeamMap2 Series Choice'!$G$6^2)))</f>
        <v>10.275499996591011</v>
      </c>
      <c r="L11" s="1">
        <f t="shared" si="0"/>
        <v>-5.1377499982955053</v>
      </c>
      <c r="M11" s="1">
        <f t="shared" si="1"/>
        <v>5.1377499982955053</v>
      </c>
      <c r="N11" s="1">
        <f>'BeamMap2 Series Choice'!$G$4*(SQRT(1+((J11)^2/($F$9)^2)))</f>
        <v>13.707320124663321</v>
      </c>
      <c r="O11" s="1">
        <f t="shared" si="5"/>
        <v>-6.8536600623316604</v>
      </c>
      <c r="P11" s="1">
        <f t="shared" si="6"/>
        <v>6.8536600623316604</v>
      </c>
      <c r="Q11">
        <f>'BeamMap2 Series Choice'!$G$4*(SQRT(1+((J11)^2/($F$10)^2)))</f>
        <v>10.019512213675874</v>
      </c>
      <c r="R11" s="1">
        <f t="shared" si="7"/>
        <v>-5.009756106837937</v>
      </c>
      <c r="S11" s="1">
        <f t="shared" si="8"/>
        <v>5.009756106837937</v>
      </c>
    </row>
    <row r="12" spans="1:26" x14ac:dyDescent="0.35">
      <c r="A12" s="6"/>
      <c r="B12" s="6"/>
      <c r="C12" s="6"/>
      <c r="D12" s="10"/>
      <c r="E12" s="11"/>
      <c r="F12" t="s">
        <v>46</v>
      </c>
      <c r="I12" s="1">
        <v>10</v>
      </c>
      <c r="J12" s="12">
        <f t="shared" si="9"/>
        <v>-16.666666666666671</v>
      </c>
      <c r="K12" s="6">
        <f>'BeamMap2 Series Choice'!$G$4*(SQRT(1+((J12)^2/'BeamMap2 Series Choice'!$G$6^2)))</f>
        <v>10.123370105957619</v>
      </c>
      <c r="L12" s="1">
        <f t="shared" si="0"/>
        <v>-5.0616850529788096</v>
      </c>
      <c r="M12" s="1">
        <f t="shared" si="1"/>
        <v>5.0616850529788096</v>
      </c>
      <c r="N12" s="1">
        <f>'BeamMap2 Series Choice'!$G$4*(SQRT(1+((J12)^2/($F$9)^2)))</f>
        <v>11.792476415070755</v>
      </c>
      <c r="O12" s="1">
        <f t="shared" si="5"/>
        <v>-5.8962382075353776</v>
      </c>
      <c r="P12" s="1">
        <f t="shared" si="6"/>
        <v>5.8962382075353776</v>
      </c>
      <c r="Q12">
        <f>'BeamMap2 Series Choice'!$G$4*(SQRT(1+((J12)^2/($F$10)^2)))</f>
        <v>10.00867679122026</v>
      </c>
      <c r="R12" s="1">
        <f t="shared" si="7"/>
        <v>-5.0043383956101302</v>
      </c>
      <c r="S12" s="1">
        <f t="shared" si="8"/>
        <v>5.0043383956101302</v>
      </c>
    </row>
    <row r="13" spans="1:26" x14ac:dyDescent="0.35">
      <c r="A13" s="6"/>
      <c r="B13" s="6"/>
      <c r="C13" s="6"/>
      <c r="F13" s="28">
        <f>4*'BeamMap2 Series Choice'!C6/'BeamMap2 Series Choice'!G6</f>
        <v>3.781521447863434</v>
      </c>
      <c r="I13" s="1">
        <v>11</v>
      </c>
      <c r="J13" s="12">
        <f t="shared" si="9"/>
        <v>-8.3333333333333375</v>
      </c>
      <c r="K13" s="6">
        <f>'BeamMap2 Series Choice'!$G$4*(SQRT(1+((J13)^2/'BeamMap2 Series Choice'!$G$6^2)))</f>
        <v>10.030984775960388</v>
      </c>
      <c r="L13" s="1">
        <f t="shared" si="0"/>
        <v>-5.0154923879801938</v>
      </c>
      <c r="M13" s="1">
        <f t="shared" si="1"/>
        <v>5.0154923879801938</v>
      </c>
      <c r="N13" s="1">
        <f>'BeamMap2 Series Choice'!$G$4*(SQRT(1+((J13)^2/($F$9)^2)))</f>
        <v>10.476909133900133</v>
      </c>
      <c r="O13" s="1">
        <f t="shared" si="5"/>
        <v>-5.2384545669500664</v>
      </c>
      <c r="P13" s="1">
        <f t="shared" si="6"/>
        <v>5.2384545669500664</v>
      </c>
      <c r="Q13">
        <f>'BeamMap2 Series Choice'!$G$4*(SQRT(1+((J13)^2/($F$10)^2)))</f>
        <v>10.002169903464837</v>
      </c>
      <c r="R13" s="1">
        <f t="shared" si="7"/>
        <v>-5.0010849517324187</v>
      </c>
      <c r="S13" s="1">
        <f t="shared" si="8"/>
        <v>5.0010849517324187</v>
      </c>
    </row>
    <row r="14" spans="1:26" x14ac:dyDescent="0.35">
      <c r="A14" s="6"/>
      <c r="B14" s="6"/>
      <c r="C14" s="6"/>
      <c r="I14" s="1">
        <v>12</v>
      </c>
      <c r="J14" s="12">
        <f t="shared" si="9"/>
        <v>0</v>
      </c>
      <c r="K14" s="6">
        <f>'BeamMap2 Series Choice'!$G$4*(SQRT(1+((J14)^2/'BeamMap2 Series Choice'!$G$6^2)))</f>
        <v>10</v>
      </c>
      <c r="L14" s="1">
        <f t="shared" si="0"/>
        <v>-5</v>
      </c>
      <c r="M14" s="1">
        <f t="shared" si="1"/>
        <v>5</v>
      </c>
      <c r="N14" s="1">
        <f>'BeamMap2 Series Choice'!$G$4*(SQRT(1+((J14)^2/($F$9)^2)))</f>
        <v>10</v>
      </c>
      <c r="O14" s="1">
        <f t="shared" si="5"/>
        <v>-5</v>
      </c>
      <c r="P14" s="1">
        <f t="shared" si="6"/>
        <v>5</v>
      </c>
      <c r="Q14">
        <f>'BeamMap2 Series Choice'!$G$4*(SQRT(1+((J14)^2/($F$10)^2)))</f>
        <v>10</v>
      </c>
      <c r="R14" s="1">
        <f t="shared" si="7"/>
        <v>-5</v>
      </c>
      <c r="S14" s="1">
        <f t="shared" si="8"/>
        <v>5</v>
      </c>
    </row>
    <row r="15" spans="1:26" x14ac:dyDescent="0.35">
      <c r="A15" s="6"/>
      <c r="B15" s="6"/>
      <c r="C15" s="6"/>
      <c r="F15" t="s">
        <v>22</v>
      </c>
      <c r="I15" s="1">
        <v>13</v>
      </c>
      <c r="J15" s="12">
        <f t="shared" si="9"/>
        <v>8.3333333333333339</v>
      </c>
      <c r="K15" s="6">
        <f>'BeamMap2 Series Choice'!$G$4*(SQRT(1+((J15)^2/'BeamMap2 Series Choice'!$G$6^2)))</f>
        <v>10.030984775960388</v>
      </c>
      <c r="L15" s="1">
        <f t="shared" si="0"/>
        <v>-5.0154923879801938</v>
      </c>
      <c r="M15" s="1">
        <f t="shared" si="1"/>
        <v>5.0154923879801938</v>
      </c>
      <c r="N15" s="1">
        <f>'BeamMap2 Series Choice'!$G$4*(SQRT(1+((J15)^2/($F$9)^2)))</f>
        <v>10.476909133900133</v>
      </c>
      <c r="O15" s="1">
        <f t="shared" si="5"/>
        <v>-5.2384545669500664</v>
      </c>
      <c r="P15" s="1">
        <f t="shared" si="6"/>
        <v>5.2384545669500664</v>
      </c>
      <c r="Q15">
        <f>'BeamMap2 Series Choice'!$G$4*(SQRT(1+((J15)^2/($F$10)^2)))</f>
        <v>10.002169903464837</v>
      </c>
      <c r="R15" s="1">
        <f t="shared" si="7"/>
        <v>-5.0010849517324187</v>
      </c>
      <c r="S15" s="1">
        <f t="shared" si="8"/>
        <v>5.0010849517324187</v>
      </c>
    </row>
    <row r="16" spans="1:26" x14ac:dyDescent="0.35">
      <c r="A16" s="6"/>
      <c r="B16" s="6"/>
      <c r="C16" s="6"/>
      <c r="F16" t="str">
        <f>IF(AND('BeamMap2 Series Choice'!C3&gt;2300,'BeamMap2 Series Choice'!C3&lt;=2500),"DD-2500",IF(AND('BeamMap2 Series Choice'!C3&gt;1800,'BeamMap2 Series Choice'!C3&lt;=2300),"DD-2300",IF(AND('BeamMap2 Series Choice'!C3&gt;850,'BeamMap2 Series Choice'!C3&lt;=1800),"IGA",IF(AND('BeamMap2 Series Choice'!C3&gt;=190,'BeamMap2 Series Choice'!C3&lt;=850),"Si"))))</f>
        <v>Si</v>
      </c>
      <c r="I16" s="1">
        <v>14</v>
      </c>
      <c r="J16" s="12">
        <f t="shared" si="9"/>
        <v>16.666666666666668</v>
      </c>
      <c r="K16" s="6">
        <f>'BeamMap2 Series Choice'!$G$4*(SQRT(1+((J16)^2/'BeamMap2 Series Choice'!$G$6^2)))</f>
        <v>10.123370105957619</v>
      </c>
      <c r="L16" s="1">
        <f t="shared" si="0"/>
        <v>-5.0616850529788096</v>
      </c>
      <c r="M16" s="1">
        <f t="shared" si="1"/>
        <v>5.0616850529788096</v>
      </c>
      <c r="N16" s="1">
        <f>'BeamMap2 Series Choice'!$G$4*(SQRT(1+((J16)^2/($F$9)^2)))</f>
        <v>11.792476415070754</v>
      </c>
      <c r="O16" s="1">
        <f t="shared" si="5"/>
        <v>-5.8962382075353768</v>
      </c>
      <c r="P16" s="1">
        <f t="shared" si="6"/>
        <v>5.8962382075353768</v>
      </c>
      <c r="Q16">
        <f>'BeamMap2 Series Choice'!$G$4*(SQRT(1+((J16)^2/($F$10)^2)))</f>
        <v>10.00867679122026</v>
      </c>
      <c r="R16" s="1">
        <f t="shared" si="7"/>
        <v>-5.0043383956101302</v>
      </c>
      <c r="S16" s="1">
        <f t="shared" si="8"/>
        <v>5.0043383956101302</v>
      </c>
    </row>
    <row r="17" spans="1:19" x14ac:dyDescent="0.35">
      <c r="A17" s="6"/>
      <c r="B17" s="6"/>
      <c r="C17" s="6"/>
      <c r="I17" s="1">
        <v>15</v>
      </c>
      <c r="J17" s="12">
        <f t="shared" si="9"/>
        <v>25</v>
      </c>
      <c r="K17" s="6">
        <f>'BeamMap2 Series Choice'!$G$4*(SQRT(1+((J17)^2/'BeamMap2 Series Choice'!$G$6^2)))</f>
        <v>10.275499996591011</v>
      </c>
      <c r="L17" s="1">
        <f t="shared" si="0"/>
        <v>-5.1377499982955053</v>
      </c>
      <c r="M17" s="1">
        <f t="shared" si="1"/>
        <v>5.1377499982955053</v>
      </c>
      <c r="N17" s="1">
        <f>'BeamMap2 Series Choice'!$G$4*(SQRT(1+((J17)^2/($F$9)^2)))</f>
        <v>13.707320124663319</v>
      </c>
      <c r="O17" s="1">
        <f t="shared" si="5"/>
        <v>-6.8536600623316595</v>
      </c>
      <c r="P17" s="1">
        <f t="shared" si="6"/>
        <v>6.8536600623316595</v>
      </c>
      <c r="Q17">
        <f>'BeamMap2 Series Choice'!$G$4*(SQRT(1+((J17)^2/($F$10)^2)))</f>
        <v>10.019512213675874</v>
      </c>
      <c r="R17" s="1">
        <f t="shared" si="7"/>
        <v>-5.009756106837937</v>
      </c>
      <c r="S17" s="1">
        <f t="shared" si="8"/>
        <v>5.009756106837937</v>
      </c>
    </row>
    <row r="18" spans="1:19" x14ac:dyDescent="0.35">
      <c r="A18" s="6"/>
      <c r="B18" s="6"/>
      <c r="C18" s="6"/>
      <c r="I18" s="1">
        <v>16</v>
      </c>
      <c r="J18" s="12">
        <f t="shared" si="9"/>
        <v>33.333333333333336</v>
      </c>
      <c r="K18" s="6">
        <f>'BeamMap2 Series Choice'!$G$4*(SQRT(1+((J18)^2/'BeamMap2 Series Choice'!$G$6^2)))</f>
        <v>10.484774161076887</v>
      </c>
      <c r="L18" s="1">
        <f t="shared" si="0"/>
        <v>-5.2423870805384434</v>
      </c>
      <c r="M18" s="1">
        <f t="shared" si="1"/>
        <v>5.2423870805384434</v>
      </c>
      <c r="N18" s="1">
        <f>'BeamMap2 Series Choice'!$G$4*(SQRT(1+((J18)^2/($F$9)^2)))</f>
        <v>16.007810593582121</v>
      </c>
      <c r="O18" s="1">
        <f t="shared" si="5"/>
        <v>-8.0039052967910607</v>
      </c>
      <c r="P18" s="1">
        <f t="shared" si="6"/>
        <v>8.0039052967910607</v>
      </c>
      <c r="Q18">
        <f>'BeamMap2 Series Choice'!$G$4*(SQRT(1+((J18)^2/($F$10)^2)))</f>
        <v>10.034662148993579</v>
      </c>
      <c r="R18" s="1">
        <f t="shared" si="7"/>
        <v>-5.0173310744967896</v>
      </c>
      <c r="S18" s="1">
        <f t="shared" si="8"/>
        <v>5.0173310744967896</v>
      </c>
    </row>
    <row r="19" spans="1:19" x14ac:dyDescent="0.35">
      <c r="A19" s="6"/>
      <c r="B19" s="6"/>
      <c r="C19" s="6"/>
      <c r="F19" t="s">
        <v>26</v>
      </c>
      <c r="I19" s="1">
        <v>17</v>
      </c>
      <c r="J19" s="12">
        <f t="shared" si="9"/>
        <v>41.666666666666671</v>
      </c>
      <c r="K19" s="6">
        <f>'BeamMap2 Series Choice'!$G$4*(SQRT(1+((J19)^2/'BeamMap2 Series Choice'!$G$6^2)))</f>
        <v>10.747855106425998</v>
      </c>
      <c r="L19" s="1">
        <f t="shared" si="0"/>
        <v>-5.3739275532129991</v>
      </c>
      <c r="M19" s="1">
        <f t="shared" si="1"/>
        <v>5.3739275532129991</v>
      </c>
      <c r="N19" s="1">
        <f>'BeamMap2 Series Choice'!$G$4*(SQRT(1+((J19)^2/($F$9)^2)))</f>
        <v>18.551027599569789</v>
      </c>
      <c r="O19" s="1">
        <f t="shared" si="5"/>
        <v>-9.2755137997848944</v>
      </c>
      <c r="P19" s="1">
        <f t="shared" si="6"/>
        <v>9.2755137997848944</v>
      </c>
      <c r="Q19">
        <f>'BeamMap2 Series Choice'!$G$4*(SQRT(1+((J19)^2/($F$10)^2)))</f>
        <v>10.054107093344712</v>
      </c>
      <c r="R19" s="1">
        <f t="shared" si="7"/>
        <v>-5.0270535466723558</v>
      </c>
      <c r="S19" s="1">
        <f t="shared" si="8"/>
        <v>5.0270535466723558</v>
      </c>
    </row>
    <row r="20" spans="1:19" x14ac:dyDescent="0.35">
      <c r="A20" s="6"/>
      <c r="B20" s="6"/>
      <c r="C20" s="6"/>
      <c r="F20" t="b">
        <f>OR('BeamMap2 Series Choice'!$G$6&gt;Sheet2!$F$10,'BeamMap2 Series Choice'!$G$6&lt;Sheet2!$F$9)</f>
        <v>0</v>
      </c>
      <c r="I20" s="1">
        <v>18</v>
      </c>
      <c r="J20" s="12">
        <f t="shared" si="9"/>
        <v>50.000000000000007</v>
      </c>
      <c r="K20" s="6">
        <f>'BeamMap2 Series Choice'!$G$4*(SQRT(1+((J20)^2/'BeamMap2 Series Choice'!$G$6^2)))</f>
        <v>11.06090415471391</v>
      </c>
      <c r="L20" s="1">
        <f t="shared" si="0"/>
        <v>-5.530452077356955</v>
      </c>
      <c r="M20" s="1">
        <f t="shared" si="1"/>
        <v>5.530452077356955</v>
      </c>
      <c r="N20" s="1">
        <f>'BeamMap2 Series Choice'!$G$4*(SQRT(1+((J20)^2/($F$9)^2)))</f>
        <v>21.25</v>
      </c>
      <c r="O20" s="1">
        <f t="shared" si="5"/>
        <v>-10.625</v>
      </c>
      <c r="P20" s="1">
        <f t="shared" si="6"/>
        <v>10.625</v>
      </c>
      <c r="Q20">
        <f>'BeamMap2 Series Choice'!$G$4*(SQRT(1+((J20)^2/($F$10)^2)))</f>
        <v>10.077822185373186</v>
      </c>
      <c r="R20" s="1">
        <f t="shared" si="7"/>
        <v>-5.0389110926865932</v>
      </c>
      <c r="S20" s="1">
        <f t="shared" si="8"/>
        <v>5.0389110926865932</v>
      </c>
    </row>
    <row r="21" spans="1:19" x14ac:dyDescent="0.35">
      <c r="A21" s="6"/>
      <c r="B21" s="6"/>
      <c r="C21" s="6"/>
      <c r="I21" s="1">
        <v>19</v>
      </c>
      <c r="J21" s="12">
        <f t="shared" si="9"/>
        <v>58.333333333333343</v>
      </c>
      <c r="K21" s="6">
        <f>'BeamMap2 Series Choice'!$G$4*(SQRT(1+((J21)^2/'BeamMap2 Series Choice'!$G$6^2)))</f>
        <v>11.419812748110438</v>
      </c>
      <c r="L21" s="1">
        <f t="shared" si="0"/>
        <v>-5.7099063740552189</v>
      </c>
      <c r="M21" s="1">
        <f t="shared" si="1"/>
        <v>5.7099063740552189</v>
      </c>
      <c r="N21" s="1">
        <f>'BeamMap2 Series Choice'!$G$4*(SQRT(1+((J21)^2/($F$9)^2)))</f>
        <v>24.052351756117325</v>
      </c>
      <c r="O21" s="1">
        <f t="shared" si="5"/>
        <v>-12.026175878058663</v>
      </c>
      <c r="P21" s="1">
        <f t="shared" si="6"/>
        <v>12.026175878058663</v>
      </c>
      <c r="Q21">
        <f>'BeamMap2 Series Choice'!$G$4*(SQRT(1+((J21)^2/($F$10)^2)))</f>
        <v>10.105777363029087</v>
      </c>
      <c r="R21" s="1">
        <f t="shared" si="7"/>
        <v>-5.0528886815145437</v>
      </c>
      <c r="S21" s="1">
        <f t="shared" si="8"/>
        <v>5.0528886815145437</v>
      </c>
    </row>
    <row r="22" spans="1:19" x14ac:dyDescent="0.35">
      <c r="A22" s="6"/>
      <c r="B22" s="6"/>
      <c r="C22" s="6"/>
      <c r="F22" t="s">
        <v>23</v>
      </c>
      <c r="I22" s="1">
        <v>20</v>
      </c>
      <c r="J22" s="12">
        <f t="shared" si="9"/>
        <v>66.666666666666671</v>
      </c>
      <c r="K22" s="6">
        <f>'BeamMap2 Series Choice'!$G$4*(SQRT(1+((J22)^2/'BeamMap2 Series Choice'!$G$6^2)))</f>
        <v>11.820404258532875</v>
      </c>
      <c r="L22" s="1">
        <f t="shared" si="0"/>
        <v>-5.9102021292664375</v>
      </c>
      <c r="M22" s="1">
        <f t="shared" si="1"/>
        <v>5.9102021292664375</v>
      </c>
      <c r="N22" s="1">
        <f>'BeamMap2 Series Choice'!$G$4*(SQRT(1+((J22)^2/($F$9)^2)))</f>
        <v>26.92582403567252</v>
      </c>
      <c r="O22" s="1">
        <f t="shared" si="5"/>
        <v>-13.46291201783626</v>
      </c>
      <c r="P22" s="1">
        <f t="shared" si="6"/>
        <v>13.46291201783626</v>
      </c>
      <c r="Q22">
        <f>'BeamMap2 Series Choice'!$G$4*(SQRT(1+((J22)^2/($F$10)^2)))</f>
        <v>10.137937550497032</v>
      </c>
      <c r="R22" s="1">
        <f t="shared" si="7"/>
        <v>-5.068968775248516</v>
      </c>
      <c r="S22" s="1">
        <f t="shared" si="8"/>
        <v>5.068968775248516</v>
      </c>
    </row>
    <row r="23" spans="1:19" x14ac:dyDescent="0.35">
      <c r="A23" s="6"/>
      <c r="B23" s="6"/>
      <c r="C23" s="6"/>
      <c r="F23" t="str">
        <f>IF('BeamMap2 Series Choice'!C7=Z1,"",IF('BeamMap2 Series Choice'!C7=Z2," with "&amp;'BeamMap2 Series Choice'!M2&amp;"X LensPlate2 (NA&gt;"&amp;F32&amp;")",IF('BeamMap2 Series Choice'!C7=Z3," with "&amp;'BeamMap2 Series Choice'!C10&amp;" mm LensPlate2")))</f>
        <v/>
      </c>
      <c r="I23" s="1">
        <v>21</v>
      </c>
      <c r="J23" s="12">
        <f t="shared" si="9"/>
        <v>75</v>
      </c>
      <c r="K23" s="6">
        <f>'BeamMap2 Series Choice'!$G$4*(SQRT(1+((J23)^2/'BeamMap2 Series Choice'!$G$6^2)))</f>
        <v>12.25859297062582</v>
      </c>
      <c r="L23" s="1">
        <f t="shared" si="0"/>
        <v>-6.1292964853129099</v>
      </c>
      <c r="M23" s="1">
        <f t="shared" si="1"/>
        <v>6.1292964853129099</v>
      </c>
      <c r="N23" s="1">
        <f>'BeamMap2 Series Choice'!$G$4*(SQRT(1+((J23)^2/($F$9)^2)))</f>
        <v>29.849884840648883</v>
      </c>
      <c r="O23" s="1">
        <f t="shared" si="5"/>
        <v>-14.924942420324442</v>
      </c>
      <c r="P23" s="1">
        <f t="shared" si="6"/>
        <v>14.924942420324442</v>
      </c>
      <c r="Q23">
        <f>'BeamMap2 Series Choice'!$G$4*(SQRT(1+((J23)^2/($F$10)^2)))</f>
        <v>10.174262872562316</v>
      </c>
      <c r="R23" s="1">
        <f t="shared" si="7"/>
        <v>-5.0871314362811582</v>
      </c>
      <c r="S23" s="1">
        <f t="shared" si="8"/>
        <v>5.0871314362811582</v>
      </c>
    </row>
    <row r="24" spans="1:19" x14ac:dyDescent="0.35">
      <c r="A24" s="6"/>
      <c r="B24" s="6"/>
      <c r="C24" s="6"/>
      <c r="I24" s="1">
        <v>22</v>
      </c>
      <c r="J24" s="12">
        <f t="shared" si="9"/>
        <v>83.333333333333329</v>
      </c>
      <c r="K24" s="6">
        <f>'BeamMap2 Series Choice'!$G$4*(SQRT(1+((J24)^2/'BeamMap2 Series Choice'!$G$6^2)))</f>
        <v>12.730497144845112</v>
      </c>
      <c r="L24" s="1">
        <f t="shared" si="0"/>
        <v>-6.3652485724225558</v>
      </c>
      <c r="M24" s="1">
        <f t="shared" si="1"/>
        <v>6.3652485724225558</v>
      </c>
      <c r="N24" s="1">
        <f>'BeamMap2 Series Choice'!$G$4*(SQRT(1+((J24)^2/($F$9)^2)))</f>
        <v>32.811011871016717</v>
      </c>
      <c r="O24" s="1">
        <f t="shared" si="5"/>
        <v>-16.405505935508359</v>
      </c>
      <c r="P24" s="1">
        <f t="shared" si="6"/>
        <v>16.405505935508359</v>
      </c>
      <c r="Q24">
        <f>'BeamMap2 Series Choice'!$G$4*(SQRT(1+((J24)^2/($F$10)^2)))</f>
        <v>10.214708893442719</v>
      </c>
      <c r="R24" s="1">
        <f t="shared" si="7"/>
        <v>-5.1073544467213594</v>
      </c>
      <c r="S24" s="1">
        <f t="shared" si="8"/>
        <v>5.1073544467213594</v>
      </c>
    </row>
    <row r="25" spans="1:19" x14ac:dyDescent="0.35">
      <c r="A25" s="6"/>
      <c r="B25" s="6"/>
      <c r="C25" s="6"/>
      <c r="F25" t="s">
        <v>24</v>
      </c>
      <c r="I25" s="1">
        <v>23</v>
      </c>
      <c r="J25" s="12">
        <f t="shared" si="9"/>
        <v>91.666666666666657</v>
      </c>
      <c r="K25" s="6">
        <f>'BeamMap2 Series Choice'!$G$4*(SQRT(1+((J25)^2/'BeamMap2 Series Choice'!$G$6^2)))</f>
        <v>13.23251014136927</v>
      </c>
      <c r="L25" s="1">
        <f t="shared" si="0"/>
        <v>-6.6162550706846348</v>
      </c>
      <c r="M25" s="1">
        <f t="shared" si="1"/>
        <v>6.6162550706846348</v>
      </c>
      <c r="N25" s="1">
        <f>'BeamMap2 Series Choice'!$G$4*(SQRT(1+((J25)^2/($F$9)^2)))</f>
        <v>35.80000872904921</v>
      </c>
      <c r="O25" s="1">
        <f t="shared" si="5"/>
        <v>-17.900004364524605</v>
      </c>
      <c r="P25" s="1">
        <f t="shared" si="6"/>
        <v>17.900004364524605</v>
      </c>
      <c r="Q25">
        <f>'BeamMap2 Series Choice'!$G$4*(SQRT(1+((J25)^2/($F$10)^2)))</f>
        <v>10.259226876870942</v>
      </c>
      <c r="R25" s="1">
        <f t="shared" si="7"/>
        <v>-5.129613438435471</v>
      </c>
      <c r="S25" s="1">
        <f t="shared" si="8"/>
        <v>5.129613438435471</v>
      </c>
    </row>
    <row r="26" spans="1:19" x14ac:dyDescent="0.35">
      <c r="A26" s="6"/>
      <c r="B26" s="6"/>
      <c r="C26" s="6"/>
      <c r="F26">
        <f>IF(F16="DD-2500",2000,IF(F16="DD-2300",2000,IF(F16="IGA",3000,IF(F16="Si",4000))))</f>
        <v>4000</v>
      </c>
      <c r="I26" s="1">
        <v>24</v>
      </c>
      <c r="J26" s="12">
        <f t="shared" si="9"/>
        <v>99.999999999999986</v>
      </c>
      <c r="K26" s="6">
        <f>'BeamMap2 Series Choice'!$G$4*(SQRT(1+((J26)^2/'BeamMap2 Series Choice'!$G$6^2)))</f>
        <v>13.761337248940224</v>
      </c>
      <c r="L26" s="1">
        <f t="shared" si="0"/>
        <v>-6.8806686244701121</v>
      </c>
      <c r="M26" s="1">
        <f t="shared" si="1"/>
        <v>6.8806686244701121</v>
      </c>
      <c r="N26" s="1">
        <f>'BeamMap2 Series Choice'!$G$4*(SQRT(1+((J26)^2/($F$9)^2)))</f>
        <v>38.810436740650054</v>
      </c>
      <c r="O26" s="1">
        <f t="shared" si="5"/>
        <v>-19.405218370325027</v>
      </c>
      <c r="P26" s="1">
        <f t="shared" si="6"/>
        <v>19.405218370325027</v>
      </c>
      <c r="Q26">
        <f>'BeamMap2 Series Choice'!$G$4*(SQRT(1+((J26)^2/($F$10)^2)))</f>
        <v>10.307764064044152</v>
      </c>
      <c r="R26" s="1">
        <f t="shared" si="7"/>
        <v>-5.153882032022076</v>
      </c>
      <c r="S26" s="1">
        <f t="shared" si="8"/>
        <v>5.153882032022076</v>
      </c>
    </row>
    <row r="27" spans="1:19" x14ac:dyDescent="0.35">
      <c r="A27" s="6"/>
      <c r="B27" s="6"/>
      <c r="C27" s="6"/>
      <c r="I27" s="1">
        <v>25</v>
      </c>
      <c r="J27" s="12">
        <f t="shared" si="9"/>
        <v>108.33333333333331</v>
      </c>
      <c r="K27" s="6">
        <f>'BeamMap2 Series Choice'!$G$4*(SQRT(1+((J27)^2/'BeamMap2 Series Choice'!$G$6^2)))</f>
        <v>14.314006855796777</v>
      </c>
      <c r="L27" s="1">
        <f t="shared" si="0"/>
        <v>-7.1570034278983883</v>
      </c>
      <c r="M27" s="1">
        <f t="shared" si="1"/>
        <v>7.1570034278983883</v>
      </c>
      <c r="N27" s="1">
        <f>'BeamMap2 Series Choice'!$G$4*(SQRT(1+((J27)^2/($F$9)^2)))</f>
        <v>41.837669927948895</v>
      </c>
      <c r="O27" s="1">
        <f t="shared" si="5"/>
        <v>-20.918834963974447</v>
      </c>
      <c r="P27" s="1">
        <f t="shared" si="6"/>
        <v>20.918834963974447</v>
      </c>
      <c r="Q27">
        <f>'BeamMap2 Series Choice'!$G$4*(SQRT(1+((J27)^2/($F$10)^2)))</f>
        <v>10.360263965963629</v>
      </c>
      <c r="R27" s="1">
        <f t="shared" si="7"/>
        <v>-5.1801319829818144</v>
      </c>
      <c r="S27" s="1">
        <f t="shared" si="8"/>
        <v>5.1801319829818144</v>
      </c>
    </row>
    <row r="28" spans="1:19" x14ac:dyDescent="0.35">
      <c r="A28" s="6"/>
      <c r="B28" s="6"/>
      <c r="C28" s="6"/>
      <c r="F28" t="s">
        <v>25</v>
      </c>
      <c r="I28" s="1">
        <v>26</v>
      </c>
      <c r="J28" s="12">
        <f t="shared" si="9"/>
        <v>116.66666666666664</v>
      </c>
      <c r="K28" s="6">
        <f>'BeamMap2 Series Choice'!$G$4*(SQRT(1+((J28)^2/'BeamMap2 Series Choice'!$G$6^2)))</f>
        <v>14.887863943750382</v>
      </c>
      <c r="L28" s="1">
        <f t="shared" si="0"/>
        <v>-7.4439319718751911</v>
      </c>
      <c r="M28" s="1">
        <f t="shared" si="1"/>
        <v>7.4439319718751911</v>
      </c>
      <c r="N28" s="1">
        <f>'BeamMap2 Series Choice'!$G$4*(SQRT(1+((J28)^2/($F$9)^2)))</f>
        <v>44.87830767754059</v>
      </c>
      <c r="O28" s="1">
        <f t="shared" si="5"/>
        <v>-22.439153838770295</v>
      </c>
      <c r="P28" s="1">
        <f t="shared" si="6"/>
        <v>22.439153838770295</v>
      </c>
      <c r="Q28">
        <f>'BeamMap2 Series Choice'!$G$4*(SQRT(1+((J28)^2/($F$10)^2)))</f>
        <v>10.416666666666668</v>
      </c>
      <c r="R28" s="1">
        <f t="shared" si="7"/>
        <v>-5.2083333333333339</v>
      </c>
      <c r="S28" s="1">
        <f t="shared" si="8"/>
        <v>5.2083333333333339</v>
      </c>
    </row>
    <row r="29" spans="1:19" x14ac:dyDescent="0.35">
      <c r="A29" s="6"/>
      <c r="B29" s="6"/>
      <c r="C29" s="6"/>
      <c r="F29">
        <f>ROUND(IF(F16="Si",2.5/0.7,5/0.7),2)</f>
        <v>3.57</v>
      </c>
      <c r="I29" s="1">
        <v>27</v>
      </c>
      <c r="J29" s="12">
        <f t="shared" si="9"/>
        <v>124.99999999999997</v>
      </c>
      <c r="K29" s="6">
        <f>'BeamMap2 Series Choice'!$G$4*(SQRT(1+((J29)^2/'BeamMap2 Series Choice'!$G$6^2)))</f>
        <v>15.480552461024978</v>
      </c>
      <c r="L29" s="1">
        <f t="shared" si="0"/>
        <v>-7.7402762305124888</v>
      </c>
      <c r="M29" s="1">
        <f t="shared" si="1"/>
        <v>7.7402762305124888</v>
      </c>
      <c r="N29" s="1">
        <f>'BeamMap2 Series Choice'!$G$4*(SQRT(1+((J29)^2/($F$9)^2)))</f>
        <v>47.929798925094588</v>
      </c>
      <c r="O29" s="1">
        <f t="shared" si="5"/>
        <v>-23.964899462547294</v>
      </c>
      <c r="P29" s="1">
        <f t="shared" si="6"/>
        <v>23.964899462547294</v>
      </c>
      <c r="Q29">
        <f>'BeamMap2 Series Choice'!$G$4*(SQRT(1+((J29)^2/($F$10)^2)))</f>
        <v>10.476909133900133</v>
      </c>
      <c r="R29" s="1">
        <f t="shared" si="7"/>
        <v>-5.2384545669500664</v>
      </c>
      <c r="S29" s="1">
        <f t="shared" si="8"/>
        <v>5.2384545669500664</v>
      </c>
    </row>
    <row r="30" spans="1:19" x14ac:dyDescent="0.35">
      <c r="A30" s="6"/>
      <c r="B30" s="6"/>
      <c r="C30" s="6"/>
      <c r="I30" s="1">
        <v>28</v>
      </c>
      <c r="J30" s="12">
        <f t="shared" si="9"/>
        <v>133.33333333333331</v>
      </c>
      <c r="K30" s="6">
        <f>'BeamMap2 Series Choice'!$G$4*(SQRT(1+((J30)^2/'BeamMap2 Series Choice'!$G$6^2)))</f>
        <v>16.089991527050856</v>
      </c>
      <c r="L30" s="1">
        <f t="shared" si="0"/>
        <v>-8.0449957635254279</v>
      </c>
      <c r="M30" s="1">
        <f t="shared" si="1"/>
        <v>8.0449957635254279</v>
      </c>
      <c r="N30" s="1">
        <f>'BeamMap2 Series Choice'!$G$4*(SQRT(1+((J30)^2/($F$9)^2)))</f>
        <v>50.990195135927848</v>
      </c>
      <c r="O30" s="1">
        <f t="shared" si="5"/>
        <v>-25.495097567963924</v>
      </c>
      <c r="P30" s="1">
        <f t="shared" si="6"/>
        <v>25.495097567963924</v>
      </c>
      <c r="Q30">
        <f>'BeamMap2 Series Choice'!$G$4*(SQRT(1+((J30)^2/($F$10)^2)))</f>
        <v>10.540925533894598</v>
      </c>
      <c r="R30" s="1">
        <f t="shared" si="7"/>
        <v>-5.2704627669472988</v>
      </c>
      <c r="S30" s="1">
        <f t="shared" si="8"/>
        <v>5.2704627669472988</v>
      </c>
    </row>
    <row r="31" spans="1:19" x14ac:dyDescent="0.35">
      <c r="A31" s="6"/>
      <c r="B31" s="6"/>
      <c r="C31" s="6"/>
      <c r="F31" t="s">
        <v>29</v>
      </c>
      <c r="I31" s="1">
        <v>29</v>
      </c>
      <c r="J31" s="12">
        <f t="shared" si="9"/>
        <v>141.66666666666666</v>
      </c>
      <c r="K31" s="6">
        <f>'BeamMap2 Series Choice'!$G$4*(SQRT(1+((J31)^2/'BeamMap2 Series Choice'!$G$6^2)))</f>
        <v>16.714348965295915</v>
      </c>
      <c r="L31" s="1">
        <f t="shared" si="0"/>
        <v>-8.3571744826479577</v>
      </c>
      <c r="M31" s="1">
        <f t="shared" si="1"/>
        <v>8.3571744826479577</v>
      </c>
      <c r="N31" s="1">
        <f>'BeamMap2 Series Choice'!$G$4*(SQRT(1+((J31)^2/($F$9)^2)))</f>
        <v>54.057983915421772</v>
      </c>
      <c r="O31" s="1">
        <f t="shared" si="5"/>
        <v>-27.028991957710886</v>
      </c>
      <c r="P31" s="1">
        <f t="shared" si="6"/>
        <v>27.028991957710886</v>
      </c>
      <c r="Q31">
        <f>'BeamMap2 Series Choice'!$G$4*(SQRT(1+((J31)^2/($F$10)^2)))</f>
        <v>10.608647547061679</v>
      </c>
      <c r="R31" s="1">
        <f t="shared" si="7"/>
        <v>-5.3043237735308395</v>
      </c>
      <c r="S31" s="1">
        <f t="shared" si="8"/>
        <v>5.3043237735308395</v>
      </c>
    </row>
    <row r="32" spans="1:19" x14ac:dyDescent="0.35">
      <c r="A32" s="6"/>
      <c r="B32" s="6"/>
      <c r="C32" s="6"/>
      <c r="F32">
        <f>ROUND(SIN('BeamMap2 Series Choice'!J3*1.517/2),2)</f>
        <v>7.0000000000000007E-2</v>
      </c>
      <c r="I32" s="1">
        <v>30</v>
      </c>
      <c r="J32" s="12">
        <f t="shared" si="9"/>
        <v>150</v>
      </c>
      <c r="K32" s="6">
        <f>'BeamMap2 Series Choice'!$G$4*(SQRT(1+((J32)^2/'BeamMap2 Series Choice'!$G$6^2)))</f>
        <v>17.352014478956239</v>
      </c>
      <c r="L32" s="1">
        <f t="shared" si="0"/>
        <v>-8.6760072394781194</v>
      </c>
      <c r="M32" s="1">
        <f t="shared" si="1"/>
        <v>8.6760072394781194</v>
      </c>
      <c r="N32" s="1">
        <f>'BeamMap2 Series Choice'!$G$4*(SQRT(1+((J32)^2/($F$9)^2)))</f>
        <v>57.131974410132202</v>
      </c>
      <c r="O32" s="1">
        <f t="shared" si="5"/>
        <v>-28.565987205066101</v>
      </c>
      <c r="P32" s="1">
        <f t="shared" si="6"/>
        <v>28.565987205066101</v>
      </c>
      <c r="Q32">
        <f>'BeamMap2 Series Choice'!$G$4*(SQRT(1+((J32)^2/($F$10)^2)))</f>
        <v>10.680004681646913</v>
      </c>
      <c r="R32" s="1">
        <f t="shared" si="7"/>
        <v>-5.3400023408234567</v>
      </c>
      <c r="S32" s="1">
        <f t="shared" si="8"/>
        <v>5.3400023408234567</v>
      </c>
    </row>
    <row r="33" spans="1:19" x14ac:dyDescent="0.35">
      <c r="A33" s="6"/>
      <c r="B33" s="6"/>
      <c r="C33" s="6"/>
      <c r="I33" s="1">
        <v>31</v>
      </c>
      <c r="J33" s="12">
        <f t="shared" si="9"/>
        <v>158.33333333333334</v>
      </c>
      <c r="K33" s="6">
        <f>'BeamMap2 Series Choice'!$G$4*(SQRT(1+((J33)^2/'BeamMap2 Series Choice'!$G$6^2)))</f>
        <v>18.001573897113094</v>
      </c>
      <c r="L33" s="1">
        <f t="shared" si="0"/>
        <v>-9.0007869485565468</v>
      </c>
      <c r="M33" s="1">
        <f t="shared" si="1"/>
        <v>9.0007869485565468</v>
      </c>
      <c r="N33" s="1">
        <f>'BeamMap2 Series Choice'!$G$4*(SQRT(1+((J33)^2/($F$9)^2)))</f>
        <v>60.211216770631701</v>
      </c>
      <c r="O33" s="1">
        <f t="shared" si="5"/>
        <v>-30.10560838531585</v>
      </c>
      <c r="P33" s="1">
        <f t="shared" si="6"/>
        <v>30.10560838531585</v>
      </c>
      <c r="Q33">
        <f>'BeamMap2 Series Choice'!$G$4*(SQRT(1+((J33)^2/($F$10)^2)))</f>
        <v>10.754924582616923</v>
      </c>
      <c r="R33" s="1">
        <f t="shared" si="7"/>
        <v>-5.3774622913084613</v>
      </c>
      <c r="S33" s="1">
        <f t="shared" si="8"/>
        <v>5.3774622913084613</v>
      </c>
    </row>
    <row r="34" spans="1:19" x14ac:dyDescent="0.35">
      <c r="A34" s="6"/>
      <c r="B34" s="6"/>
      <c r="C34" s="6"/>
      <c r="I34" s="1">
        <v>32</v>
      </c>
      <c r="J34" s="12">
        <f t="shared" si="9"/>
        <v>166.66666666666669</v>
      </c>
      <c r="K34" s="6">
        <f>'BeamMap2 Series Choice'!$G$4*(SQRT(1+((J34)^2/'BeamMap2 Series Choice'!$G$6^2)))</f>
        <v>18.661785290256617</v>
      </c>
      <c r="L34" s="1">
        <f t="shared" ref="L34:L62" si="10">-K34/2</f>
        <v>-9.3308926451283085</v>
      </c>
      <c r="M34" s="1">
        <f t="shared" ref="M34:M62" si="11">K34/2</f>
        <v>9.3308926451283085</v>
      </c>
      <c r="N34" s="1">
        <f>'BeamMap2 Series Choice'!$G$4*(SQRT(1+((J34)^2/($F$9)^2)))</f>
        <v>63.294944505860819</v>
      </c>
      <c r="O34" s="1">
        <f t="shared" si="5"/>
        <v>-31.64747225293041</v>
      </c>
      <c r="P34" s="1">
        <f t="shared" si="6"/>
        <v>31.64747225293041</v>
      </c>
      <c r="Q34">
        <f>'BeamMap2 Series Choice'!$G$4*(SQRT(1+((J34)^2/($F$10)^2)))</f>
        <v>10.833333333333332</v>
      </c>
      <c r="R34" s="1">
        <f t="shared" si="7"/>
        <v>-5.4166666666666661</v>
      </c>
      <c r="S34" s="1">
        <f t="shared" si="8"/>
        <v>5.4166666666666661</v>
      </c>
    </row>
    <row r="35" spans="1:19" x14ac:dyDescent="0.35">
      <c r="A35" s="6"/>
      <c r="B35" s="6"/>
      <c r="C35" s="6"/>
      <c r="F35" t="str">
        <f>IF('BeamMap2 Series Choice'!C6=5000,"CM4-","")</f>
        <v/>
      </c>
      <c r="I35" s="1">
        <v>33</v>
      </c>
      <c r="J35" s="12">
        <f t="shared" si="9"/>
        <v>175.00000000000003</v>
      </c>
      <c r="K35" s="6">
        <f>'BeamMap2 Series Choice'!$G$4*(SQRT(1+((J35)^2/'BeamMap2 Series Choice'!$G$6^2)))</f>
        <v>19.331557330364031</v>
      </c>
      <c r="L35" s="1">
        <f t="shared" si="10"/>
        <v>-9.6657786651820157</v>
      </c>
      <c r="M35" s="1">
        <f t="shared" si="11"/>
        <v>9.6657786651820157</v>
      </c>
      <c r="N35" s="1">
        <f>'BeamMap2 Series Choice'!$G$4*(SQRT(1+((J35)^2/($F$9)^2)))</f>
        <v>66.382532529273107</v>
      </c>
      <c r="O35" s="1">
        <f t="shared" si="5"/>
        <v>-33.191266264636553</v>
      </c>
      <c r="P35" s="1">
        <f t="shared" si="6"/>
        <v>33.191266264636553</v>
      </c>
      <c r="Q35">
        <f>'BeamMap2 Series Choice'!$G$4*(SQRT(1+((J35)^2/($F$10)^2)))</f>
        <v>10.915155747858112</v>
      </c>
      <c r="R35" s="1">
        <f t="shared" si="7"/>
        <v>-5.4575778739290559</v>
      </c>
      <c r="S35" s="1">
        <f t="shared" si="8"/>
        <v>5.4575778739290559</v>
      </c>
    </row>
    <row r="36" spans="1:19" x14ac:dyDescent="0.35">
      <c r="A36" s="6"/>
      <c r="B36" s="6"/>
      <c r="C36" s="6"/>
      <c r="I36" s="1">
        <v>34</v>
      </c>
      <c r="J36" s="12">
        <f t="shared" si="9"/>
        <v>183.33333333333337</v>
      </c>
      <c r="K36" s="6">
        <f>'BeamMap2 Series Choice'!$G$4*(SQRT(1+((J36)^2/'BeamMap2 Series Choice'!$G$6^2)))</f>
        <v>20.009929999022049</v>
      </c>
      <c r="L36" s="1">
        <f t="shared" si="10"/>
        <v>-10.004964999511024</v>
      </c>
      <c r="M36" s="1">
        <f t="shared" si="11"/>
        <v>10.004964999511024</v>
      </c>
      <c r="N36" s="1">
        <f>'BeamMap2 Series Choice'!$G$4*(SQRT(1+((J36)^2/($F$9)^2)))</f>
        <v>69.473466157951279</v>
      </c>
      <c r="O36" s="1">
        <f t="shared" si="5"/>
        <v>-34.736733078975639</v>
      </c>
      <c r="P36" s="1">
        <f t="shared" si="6"/>
        <v>34.736733078975639</v>
      </c>
      <c r="Q36">
        <f>'BeamMap2 Series Choice'!$G$4*(SQRT(1+((J36)^2/($F$10)^2)))</f>
        <v>11.000315652036738</v>
      </c>
      <c r="R36" s="1">
        <f t="shared" si="7"/>
        <v>-5.500157826018369</v>
      </c>
      <c r="S36" s="1">
        <f t="shared" si="8"/>
        <v>5.500157826018369</v>
      </c>
    </row>
    <row r="37" spans="1:19" x14ac:dyDescent="0.35">
      <c r="A37" s="6"/>
      <c r="B37" s="6"/>
      <c r="C37" s="6"/>
      <c r="I37" s="1">
        <v>35</v>
      </c>
      <c r="J37" s="12">
        <f t="shared" si="9"/>
        <v>191.66666666666671</v>
      </c>
      <c r="K37" s="6">
        <f>'BeamMap2 Series Choice'!$G$4*(SQRT(1+((J37)^2/'BeamMap2 Series Choice'!$G$6^2)))</f>
        <v>20.696057582676751</v>
      </c>
      <c r="L37" s="1">
        <f t="shared" si="10"/>
        <v>-10.348028791338375</v>
      </c>
      <c r="M37" s="1">
        <f t="shared" si="11"/>
        <v>10.348028791338375</v>
      </c>
      <c r="N37" s="1">
        <f>'BeamMap2 Series Choice'!$G$4*(SQRT(1+((J37)^2/($F$9)^2)))</f>
        <v>72.567317884844016</v>
      </c>
      <c r="O37" s="1">
        <f t="shared" si="5"/>
        <v>-36.283658942422008</v>
      </c>
      <c r="P37" s="1">
        <f t="shared" si="6"/>
        <v>36.283658942422008</v>
      </c>
      <c r="Q37">
        <f>'BeamMap2 Series Choice'!$G$4*(SQRT(1+((J37)^2/($F$10)^2)))</f>
        <v>11.088736151809389</v>
      </c>
      <c r="R37" s="1">
        <f t="shared" si="7"/>
        <v>-5.5443680759046945</v>
      </c>
      <c r="S37" s="1">
        <f t="shared" si="8"/>
        <v>5.5443680759046945</v>
      </c>
    </row>
    <row r="38" spans="1:19" x14ac:dyDescent="0.35">
      <c r="A38" s="6"/>
      <c r="B38" s="6"/>
      <c r="C38" s="6"/>
      <c r="I38" s="1">
        <v>36</v>
      </c>
      <c r="J38" s="12">
        <f t="shared" si="9"/>
        <v>200.00000000000006</v>
      </c>
      <c r="K38" s="6">
        <f>'BeamMap2 Series Choice'!$G$4*(SQRT(1+((J38)^2/'BeamMap2 Series Choice'!$G$6^2)))</f>
        <v>21.38919380239188</v>
      </c>
      <c r="L38" s="1">
        <f t="shared" si="10"/>
        <v>-10.69459690119594</v>
      </c>
      <c r="M38" s="1">
        <f t="shared" si="11"/>
        <v>10.69459690119594</v>
      </c>
      <c r="N38" s="1">
        <f>'BeamMap2 Series Choice'!$G$4*(SQRT(1+((J38)^2/($F$9)^2)))</f>
        <v>75.663729752107798</v>
      </c>
      <c r="O38" s="1">
        <f t="shared" si="5"/>
        <v>-37.831864876053899</v>
      </c>
      <c r="P38" s="1">
        <f t="shared" si="6"/>
        <v>37.831864876053899</v>
      </c>
      <c r="Q38">
        <f>'BeamMap2 Series Choice'!$G$4*(SQRT(1+((J38)^2/($F$10)^2)))</f>
        <v>11.180339887498949</v>
      </c>
      <c r="R38" s="1">
        <f t="shared" si="7"/>
        <v>-5.5901699437494745</v>
      </c>
      <c r="S38" s="1">
        <f t="shared" si="8"/>
        <v>5.5901699437494745</v>
      </c>
    </row>
    <row r="39" spans="1:19" x14ac:dyDescent="0.35">
      <c r="A39" s="6"/>
      <c r="B39" s="6"/>
      <c r="C39" s="6"/>
      <c r="I39" s="1">
        <v>37</v>
      </c>
      <c r="J39" s="12">
        <f t="shared" si="9"/>
        <v>208.3333333333334</v>
      </c>
      <c r="K39" s="6">
        <f>'BeamMap2 Series Choice'!$G$4*(SQRT(1+((J39)^2/'BeamMap2 Series Choice'!$G$6^2)))</f>
        <v>22.08867888123201</v>
      </c>
      <c r="L39" s="1">
        <f t="shared" si="10"/>
        <v>-11.044339440616005</v>
      </c>
      <c r="M39" s="1">
        <f t="shared" si="11"/>
        <v>11.044339440616005</v>
      </c>
      <c r="N39" s="1">
        <f>'BeamMap2 Series Choice'!$G$4*(SQRT(1+((J39)^2/($F$9)^2)))</f>
        <v>78.762399817425589</v>
      </c>
      <c r="O39" s="1">
        <f t="shared" si="5"/>
        <v>-39.381199908712794</v>
      </c>
      <c r="P39" s="1">
        <f t="shared" si="6"/>
        <v>39.381199908712794</v>
      </c>
      <c r="Q39">
        <f>'BeamMap2 Series Choice'!$G$4*(SQRT(1+((J39)^2/($F$10)^2)))</f>
        <v>11.275049273112341</v>
      </c>
      <c r="R39" s="1">
        <f t="shared" si="7"/>
        <v>-5.6375246365561704</v>
      </c>
      <c r="S39" s="1">
        <f t="shared" si="8"/>
        <v>5.6375246365561704</v>
      </c>
    </row>
    <row r="40" spans="1:19" x14ac:dyDescent="0.35">
      <c r="A40" s="6"/>
      <c r="B40" s="6"/>
      <c r="C40" s="6"/>
      <c r="I40" s="1">
        <v>38</v>
      </c>
      <c r="J40" s="12">
        <f t="shared" si="9"/>
        <v>216.66666666666674</v>
      </c>
      <c r="K40" s="6">
        <f>'BeamMap2 Series Choice'!$G$4*(SQRT(1+((J40)^2/'BeamMap2 Series Choice'!$G$6^2)))</f>
        <v>22.793928337853238</v>
      </c>
      <c r="L40" s="1">
        <f t="shared" si="10"/>
        <v>-11.396964168926619</v>
      </c>
      <c r="M40" s="1">
        <f t="shared" si="11"/>
        <v>11.396964168926619</v>
      </c>
      <c r="N40" s="1">
        <f>'BeamMap2 Series Choice'!$G$4*(SQRT(1+((J40)^2/($F$9)^2)))</f>
        <v>81.863071650164727</v>
      </c>
      <c r="O40" s="1">
        <f t="shared" si="5"/>
        <v>-40.931535825082364</v>
      </c>
      <c r="P40" s="1">
        <f t="shared" si="6"/>
        <v>40.931535825082364</v>
      </c>
      <c r="Q40">
        <f>'BeamMap2 Series Choice'!$G$4*(SQRT(1+((J40)^2/($F$10)^2)))</f>
        <v>11.372786719963484</v>
      </c>
      <c r="R40" s="1">
        <f t="shared" si="7"/>
        <v>-5.686393359981742</v>
      </c>
      <c r="S40" s="1">
        <f t="shared" si="8"/>
        <v>5.686393359981742</v>
      </c>
    </row>
    <row r="41" spans="1:19" x14ac:dyDescent="0.35">
      <c r="A41" s="6"/>
      <c r="B41" s="6"/>
      <c r="C41" s="6"/>
      <c r="I41" s="1">
        <v>39</v>
      </c>
      <c r="J41" s="12">
        <f t="shared" si="9"/>
        <v>225.00000000000009</v>
      </c>
      <c r="K41" s="6">
        <f>'BeamMap2 Series Choice'!$G$4*(SQRT(1+((J41)^2/'BeamMap2 Series Choice'!$G$6^2)))</f>
        <v>23.50442329807926</v>
      </c>
      <c r="L41" s="1">
        <f t="shared" si="10"/>
        <v>-11.75221164903963</v>
      </c>
      <c r="M41" s="1">
        <f t="shared" si="11"/>
        <v>11.75221164903963</v>
      </c>
      <c r="N41" s="1">
        <f>'BeamMap2 Series Choice'!$G$4*(SQRT(1+((J41)^2/($F$9)^2)))</f>
        <v>84.965526097353177</v>
      </c>
      <c r="O41" s="1">
        <f t="shared" si="5"/>
        <v>-42.482763048676588</v>
      </c>
      <c r="P41" s="1">
        <f t="shared" si="6"/>
        <v>42.482763048676588</v>
      </c>
      <c r="Q41">
        <f>'BeamMap2 Series Choice'!$G$4*(SQRT(1+((J41)^2/($F$10)^2)))</f>
        <v>11.473474844178638</v>
      </c>
      <c r="R41" s="1">
        <f t="shared" si="7"/>
        <v>-5.7367374220893188</v>
      </c>
      <c r="S41" s="1">
        <f t="shared" si="8"/>
        <v>5.7367374220893188</v>
      </c>
    </row>
    <row r="42" spans="1:19" x14ac:dyDescent="0.35">
      <c r="A42" s="6"/>
      <c r="B42" s="6"/>
      <c r="C42" s="6"/>
      <c r="I42" s="1">
        <v>40</v>
      </c>
      <c r="J42" s="12">
        <f t="shared" si="9"/>
        <v>233.33333333333343</v>
      </c>
      <c r="K42" s="6">
        <f>'BeamMap2 Series Choice'!$G$4*(SQRT(1+((J42)^2/'BeamMap2 Series Choice'!$G$6^2)))</f>
        <v>24.219702129268462</v>
      </c>
      <c r="L42" s="1">
        <f t="shared" si="10"/>
        <v>-12.109851064634231</v>
      </c>
      <c r="M42" s="1">
        <f t="shared" si="11"/>
        <v>12.109851064634231</v>
      </c>
      <c r="N42" s="1">
        <f>'BeamMap2 Series Choice'!$G$4*(SQRT(1+((J42)^2/($F$9)^2)))</f>
        <v>88.069574769042717</v>
      </c>
      <c r="O42" s="1">
        <f t="shared" si="5"/>
        <v>-44.034787384521358</v>
      </c>
      <c r="P42" s="1">
        <f t="shared" si="6"/>
        <v>44.034787384521358</v>
      </c>
      <c r="Q42">
        <f>'BeamMap2 Series Choice'!$G$4*(SQRT(1+((J42)^2/($F$10)^2)))</f>
        <v>11.577036657874839</v>
      </c>
      <c r="R42" s="1">
        <f t="shared" si="7"/>
        <v>-5.7885183289374194</v>
      </c>
      <c r="S42" s="1">
        <f t="shared" si="8"/>
        <v>5.7885183289374194</v>
      </c>
    </row>
    <row r="43" spans="1:19" x14ac:dyDescent="0.35">
      <c r="A43" s="6"/>
      <c r="B43" s="6"/>
      <c r="C43" s="6"/>
      <c r="I43" s="1">
        <v>41</v>
      </c>
      <c r="J43" s="12">
        <f t="shared" si="9"/>
        <v>241.66666666666677</v>
      </c>
      <c r="K43" s="6">
        <f>'BeamMap2 Series Choice'!$G$4*(SQRT(1+((J43)^2/'BeamMap2 Series Choice'!$G$6^2)))</f>
        <v>24.939353220097544</v>
      </c>
      <c r="L43" s="1">
        <f t="shared" si="10"/>
        <v>-12.469676610048772</v>
      </c>
      <c r="M43" s="1">
        <f t="shared" si="11"/>
        <v>12.469676610048772</v>
      </c>
      <c r="N43" s="1">
        <f>'BeamMap2 Series Choice'!$G$4*(SQRT(1+((J43)^2/($F$9)^2)))</f>
        <v>91.175054839577726</v>
      </c>
      <c r="O43" s="1">
        <f t="shared" si="5"/>
        <v>-45.587527419788863</v>
      </c>
      <c r="P43" s="1">
        <f t="shared" si="6"/>
        <v>45.587527419788863</v>
      </c>
      <c r="Q43">
        <f>'BeamMap2 Series Choice'!$G$4*(SQRT(1+((J43)^2/($F$10)^2)))</f>
        <v>11.683395744008296</v>
      </c>
      <c r="R43" s="1">
        <f t="shared" si="7"/>
        <v>-5.8416978720041479</v>
      </c>
      <c r="S43" s="1">
        <f t="shared" si="8"/>
        <v>5.8416978720041479</v>
      </c>
    </row>
    <row r="44" spans="1:19" x14ac:dyDescent="0.35">
      <c r="A44" s="6"/>
      <c r="B44" s="6"/>
      <c r="C44" s="6"/>
      <c r="I44" s="1">
        <v>42</v>
      </c>
      <c r="J44" s="12">
        <f t="shared" si="9"/>
        <v>250.00000000000011</v>
      </c>
      <c r="K44" s="6">
        <f>'BeamMap2 Series Choice'!$G$4*(SQRT(1+((J44)^2/'BeamMap2 Series Choice'!$G$6^2)))</f>
        <v>25.663008747888206</v>
      </c>
      <c r="L44" s="1">
        <f t="shared" si="10"/>
        <v>-12.831504373944103</v>
      </c>
      <c r="M44" s="1">
        <f t="shared" si="11"/>
        <v>12.831504373944103</v>
      </c>
      <c r="N44" s="1">
        <f>'BeamMap2 Series Choice'!$G$4*(SQRT(1+((J44)^2/($F$9)^2)))</f>
        <v>94.281824865665428</v>
      </c>
      <c r="O44" s="1">
        <f t="shared" si="5"/>
        <v>-47.140912432832714</v>
      </c>
      <c r="P44" s="1">
        <f t="shared" si="6"/>
        <v>47.140912432832714</v>
      </c>
      <c r="Q44">
        <f>'BeamMap2 Series Choice'!$G$4*(SQRT(1+((J44)^2/($F$10)^2)))</f>
        <v>11.792476415070755</v>
      </c>
      <c r="R44" s="1">
        <f t="shared" si="7"/>
        <v>-5.8962382075353776</v>
      </c>
      <c r="S44" s="1">
        <f t="shared" si="8"/>
        <v>5.8962382075353776</v>
      </c>
    </row>
    <row r="45" spans="1:19" x14ac:dyDescent="0.35">
      <c r="A45" s="6"/>
      <c r="B45" s="6"/>
      <c r="C45" s="6"/>
      <c r="I45" s="1">
        <v>43</v>
      </c>
      <c r="J45" s="12">
        <f t="shared" si="9"/>
        <v>258.33333333333343</v>
      </c>
      <c r="K45" s="6">
        <f>'BeamMap2 Series Choice'!$G$4*(SQRT(1+((J45)^2/'BeamMap2 Series Choice'!$G$6^2)))</f>
        <v>26.390339294951879</v>
      </c>
      <c r="L45" s="1">
        <f t="shared" si="10"/>
        <v>-13.195169647475939</v>
      </c>
      <c r="M45" s="1">
        <f t="shared" si="11"/>
        <v>13.195169647475939</v>
      </c>
      <c r="N45" s="1">
        <f>'BeamMap2 Series Choice'!$G$4*(SQRT(1+((J45)^2/($F$9)^2)))</f>
        <v>97.389761397181815</v>
      </c>
      <c r="O45" s="1">
        <f t="shared" si="5"/>
        <v>-48.694880698590907</v>
      </c>
      <c r="P45" s="1">
        <f t="shared" si="6"/>
        <v>48.694880698590907</v>
      </c>
      <c r="Q45">
        <f>'BeamMap2 Series Choice'!$G$4*(SQRT(1+((J45)^2/($F$10)^2)))</f>
        <v>11.904203855968046</v>
      </c>
      <c r="R45" s="1">
        <f t="shared" si="7"/>
        <v>-5.9521019279840228</v>
      </c>
      <c r="S45" s="1">
        <f t="shared" si="8"/>
        <v>5.9521019279840228</v>
      </c>
    </row>
    <row r="46" spans="1:19" x14ac:dyDescent="0.35">
      <c r="A46" s="6"/>
      <c r="B46" s="6"/>
      <c r="C46" s="6"/>
      <c r="I46" s="1">
        <v>44</v>
      </c>
      <c r="J46" s="12">
        <f t="shared" si="9"/>
        <v>266.66666666666674</v>
      </c>
      <c r="K46" s="6">
        <f>'BeamMap2 Series Choice'!$G$4*(SQRT(1+((J46)^2/'BeamMap2 Series Choice'!$G$6^2)))</f>
        <v>27.121049193611118</v>
      </c>
      <c r="L46" s="1">
        <f t="shared" si="10"/>
        <v>-13.560524596805559</v>
      </c>
      <c r="M46" s="1">
        <f t="shared" si="11"/>
        <v>13.560524596805559</v>
      </c>
      <c r="N46" s="1">
        <f>'BeamMap2 Series Choice'!$G$4*(SQRT(1+((J46)^2/($F$9)^2)))</f>
        <v>100.49875621120891</v>
      </c>
      <c r="O46" s="1">
        <f t="shared" si="5"/>
        <v>-50.249378105604457</v>
      </c>
      <c r="P46" s="1">
        <f t="shared" si="6"/>
        <v>50.249378105604457</v>
      </c>
      <c r="Q46">
        <f>'BeamMap2 Series Choice'!$G$4*(SQRT(1+((J46)^2/($F$10)^2)))</f>
        <v>12.018504251546631</v>
      </c>
      <c r="R46" s="1">
        <f t="shared" si="7"/>
        <v>-6.0092521257733154</v>
      </c>
      <c r="S46" s="1">
        <f t="shared" si="8"/>
        <v>6.0092521257733154</v>
      </c>
    </row>
    <row r="47" spans="1:19" x14ac:dyDescent="0.35">
      <c r="A47" s="6"/>
      <c r="B47" s="6"/>
      <c r="C47" s="6"/>
      <c r="I47" s="1">
        <v>45</v>
      </c>
      <c r="J47" s="12">
        <f t="shared" si="9"/>
        <v>275.00000000000006</v>
      </c>
      <c r="K47" s="6">
        <f>'BeamMap2 Series Choice'!$G$4*(SQRT(1+((J47)^2/'BeamMap2 Series Choice'!$G$6^2)))</f>
        <v>27.854872496081637</v>
      </c>
      <c r="L47" s="1">
        <f t="shared" si="10"/>
        <v>-13.927436248040818</v>
      </c>
      <c r="M47" s="1">
        <f t="shared" si="11"/>
        <v>13.927436248040818</v>
      </c>
      <c r="N47" s="1">
        <f>'BeamMap2 Series Choice'!$G$4*(SQRT(1+((J47)^2/($F$9)^2)))</f>
        <v>103.60871403989148</v>
      </c>
      <c r="O47" s="1">
        <f t="shared" si="5"/>
        <v>-51.804357019945741</v>
      </c>
      <c r="P47" s="1">
        <f t="shared" si="6"/>
        <v>51.804357019945741</v>
      </c>
      <c r="Q47">
        <f>'BeamMap2 Series Choice'!$G$4*(SQRT(1+((J47)^2/($F$10)^2)))</f>
        <v>12.13530489934225</v>
      </c>
      <c r="R47" s="1">
        <f t="shared" si="7"/>
        <v>-6.067652449671125</v>
      </c>
      <c r="S47" s="1">
        <f t="shared" si="8"/>
        <v>6.067652449671125</v>
      </c>
    </row>
    <row r="48" spans="1:19" x14ac:dyDescent="0.35">
      <c r="A48" s="6"/>
      <c r="B48" s="6"/>
      <c r="C48" s="6"/>
      <c r="I48" s="1">
        <v>46</v>
      </c>
      <c r="J48" s="12">
        <f t="shared" si="9"/>
        <v>283.33333333333337</v>
      </c>
      <c r="K48" s="6">
        <f>'BeamMap2 Series Choice'!$G$4*(SQRT(1+((J48)^2/'BeamMap2 Series Choice'!$G$6^2)))</f>
        <v>28.591569480088964</v>
      </c>
      <c r="L48" s="1">
        <f t="shared" si="10"/>
        <v>-14.295784740044482</v>
      </c>
      <c r="M48" s="1">
        <f t="shared" si="11"/>
        <v>14.295784740044482</v>
      </c>
      <c r="N48" s="1">
        <f>'BeamMap2 Series Choice'!$G$4*(SQRT(1+((J48)^2/($F$9)^2)))</f>
        <v>106.71955069245747</v>
      </c>
      <c r="O48" s="1">
        <f t="shared" si="5"/>
        <v>-53.359775346228737</v>
      </c>
      <c r="P48" s="1">
        <f t="shared" si="6"/>
        <v>53.359775346228737</v>
      </c>
      <c r="Q48">
        <f>'BeamMap2 Series Choice'!$G$4*(SQRT(1+((J48)^2/($F$10)^2)))</f>
        <v>12.254534308210619</v>
      </c>
      <c r="R48" s="1">
        <f t="shared" si="7"/>
        <v>-6.1272671541053096</v>
      </c>
      <c r="S48" s="1">
        <f t="shared" si="8"/>
        <v>6.1272671541053096</v>
      </c>
    </row>
    <row r="49" spans="1:19" x14ac:dyDescent="0.35">
      <c r="A49" s="6"/>
      <c r="B49" s="6"/>
      <c r="C49" s="6"/>
      <c r="I49" s="1">
        <v>47</v>
      </c>
      <c r="J49" s="12">
        <f t="shared" si="9"/>
        <v>291.66666666666669</v>
      </c>
      <c r="K49" s="6">
        <f>'BeamMap2 Series Choice'!$G$4*(SQRT(1+((J49)^2/'BeamMap2 Series Choice'!$G$6^2)))</f>
        <v>29.330923613954646</v>
      </c>
      <c r="L49" s="1">
        <f t="shared" si="10"/>
        <v>-14.665461806977323</v>
      </c>
      <c r="M49" s="1">
        <f t="shared" si="11"/>
        <v>14.665461806977323</v>
      </c>
      <c r="N49" s="1">
        <f>'BeamMap2 Series Choice'!$G$4*(SQRT(1+((J49)^2/($F$9)^2)))</f>
        <v>109.8311914940378</v>
      </c>
      <c r="O49" s="1">
        <f t="shared" si="5"/>
        <v>-54.915595747018898</v>
      </c>
      <c r="P49" s="1">
        <f t="shared" si="6"/>
        <v>54.915595747018898</v>
      </c>
      <c r="Q49">
        <f>'BeamMap2 Series Choice'!$G$4*(SQRT(1+((J49)^2/($F$10)^2)))</f>
        <v>12.376122283565953</v>
      </c>
      <c r="R49" s="1">
        <f t="shared" si="7"/>
        <v>-6.1880611417829767</v>
      </c>
      <c r="S49" s="1">
        <f t="shared" si="8"/>
        <v>6.1880611417829767</v>
      </c>
    </row>
    <row r="50" spans="1:19" x14ac:dyDescent="0.35">
      <c r="A50" s="6"/>
      <c r="B50" s="6"/>
      <c r="C50" s="6"/>
      <c r="I50" s="1">
        <v>48</v>
      </c>
      <c r="J50" s="12">
        <f t="shared" si="9"/>
        <v>300</v>
      </c>
      <c r="K50" s="6">
        <f>'BeamMap2 Series Choice'!$G$4*(SQRT(1+((J50)^2/'BeamMap2 Series Choice'!$G$6^2)))</f>
        <v>30.072738916028715</v>
      </c>
      <c r="L50" s="1">
        <f t="shared" si="10"/>
        <v>-15.036369458014358</v>
      </c>
      <c r="M50" s="1">
        <f t="shared" si="11"/>
        <v>15.036369458014358</v>
      </c>
      <c r="N50" s="1">
        <f>'BeamMap2 Series Choice'!$G$4*(SQRT(1+((J50)^2/($F$9)^2)))</f>
        <v>112.94356998076516</v>
      </c>
      <c r="O50" s="1">
        <f t="shared" si="5"/>
        <v>-56.471784990382581</v>
      </c>
      <c r="P50" s="1">
        <f t="shared" si="6"/>
        <v>56.471784990382581</v>
      </c>
      <c r="Q50">
        <f>'BeamMap2 Series Choice'!$G$4*(SQRT(1+((J50)^2/($F$10)^2)))</f>
        <v>12.5</v>
      </c>
      <c r="R50" s="1">
        <f t="shared" si="7"/>
        <v>-6.25</v>
      </c>
      <c r="S50" s="1">
        <f t="shared" si="8"/>
        <v>6.25</v>
      </c>
    </row>
    <row r="51" spans="1:19" x14ac:dyDescent="0.35">
      <c r="A51" s="6"/>
      <c r="B51" s="6"/>
      <c r="C51" s="6"/>
      <c r="I51" s="1">
        <v>49</v>
      </c>
      <c r="J51" s="12">
        <f t="shared" si="9"/>
        <v>308.33333333333331</v>
      </c>
      <c r="K51" s="6">
        <f>'BeamMap2 Series Choice'!$G$4*(SQRT(1+((J51)^2/'BeamMap2 Series Choice'!$G$6^2)))</f>
        <v>30.816837652924605</v>
      </c>
      <c r="L51" s="1">
        <f t="shared" si="10"/>
        <v>-15.408418826462302</v>
      </c>
      <c r="M51" s="1">
        <f t="shared" si="11"/>
        <v>15.408418826462302</v>
      </c>
      <c r="N51" s="1">
        <f>'BeamMap2 Series Choice'!$G$4*(SQRT(1+((J51)^2/($F$9)^2)))</f>
        <v>116.05662680347037</v>
      </c>
      <c r="O51" s="1">
        <f t="shared" si="5"/>
        <v>-58.028313401735183</v>
      </c>
      <c r="P51" s="1">
        <f t="shared" si="6"/>
        <v>58.028313401735183</v>
      </c>
      <c r="Q51">
        <f>'BeamMap2 Series Choice'!$G$4*(SQRT(1+((J51)^2/($F$10)^2)))</f>
        <v>12.626100062084799</v>
      </c>
      <c r="R51" s="1">
        <f t="shared" si="7"/>
        <v>-6.3130500310423994</v>
      </c>
      <c r="S51" s="1">
        <f t="shared" si="8"/>
        <v>6.3130500310423994</v>
      </c>
    </row>
    <row r="52" spans="1:19" x14ac:dyDescent="0.35">
      <c r="A52" s="6"/>
      <c r="B52" s="6"/>
      <c r="C52" s="6"/>
      <c r="I52" s="1">
        <v>50</v>
      </c>
      <c r="J52" s="12">
        <f t="shared" si="9"/>
        <v>316.66666666666663</v>
      </c>
      <c r="K52" s="6">
        <f>'BeamMap2 Series Choice'!$G$4*(SQRT(1+((J52)^2/'BeamMap2 Series Choice'!$G$6^2)))</f>
        <v>31.56305832920653</v>
      </c>
      <c r="L52" s="1">
        <f t="shared" si="10"/>
        <v>-15.781529164603265</v>
      </c>
      <c r="M52" s="1">
        <f t="shared" si="11"/>
        <v>15.781529164603265</v>
      </c>
      <c r="N52" s="1">
        <f>'BeamMap2 Series Choice'!$G$4*(SQRT(1+((J52)^2/($F$9)^2)))</f>
        <v>119.17030880215086</v>
      </c>
      <c r="O52" s="1">
        <f t="shared" si="5"/>
        <v>-59.585154401075428</v>
      </c>
      <c r="P52" s="1">
        <f t="shared" si="6"/>
        <v>59.585154401075428</v>
      </c>
      <c r="Q52">
        <f>'BeamMap2 Series Choice'!$G$4*(SQRT(1+((J52)^2/($F$10)^2)))</f>
        <v>12.754356554178305</v>
      </c>
      <c r="R52" s="1">
        <f t="shared" si="7"/>
        <v>-6.3771782770891523</v>
      </c>
      <c r="S52" s="1">
        <f t="shared" si="8"/>
        <v>6.3771782770891523</v>
      </c>
    </row>
    <row r="53" spans="1:19" x14ac:dyDescent="0.35">
      <c r="I53" s="1">
        <v>51</v>
      </c>
      <c r="J53" s="12">
        <f t="shared" si="9"/>
        <v>324.99999999999994</v>
      </c>
      <c r="K53" s="6">
        <f>'BeamMap2 Series Choice'!$G$4*(SQRT(1+((J53)^2/'BeamMap2 Series Choice'!$G$6^2)))</f>
        <v>32.311253928162152</v>
      </c>
      <c r="L53" s="1">
        <f t="shared" si="10"/>
        <v>-16.155626964081076</v>
      </c>
      <c r="M53" s="1">
        <f t="shared" si="11"/>
        <v>16.155626964081076</v>
      </c>
      <c r="N53" s="1">
        <f>'BeamMap2 Series Choice'!$G$4*(SQRT(1+((J53)^2/($F$9)^2)))</f>
        <v>122.28456822101467</v>
      </c>
      <c r="O53" s="1">
        <f t="shared" si="5"/>
        <v>-61.142284110507333</v>
      </c>
      <c r="P53" s="1">
        <f t="shared" si="6"/>
        <v>61.142284110507333</v>
      </c>
      <c r="Q53">
        <f>'BeamMap2 Series Choice'!$G$4*(SQRT(1+((J53)^2/($F$10)^2)))</f>
        <v>12.884705080055188</v>
      </c>
      <c r="R53" s="1">
        <f t="shared" si="7"/>
        <v>-6.4423525400275938</v>
      </c>
      <c r="S53" s="1">
        <f t="shared" si="8"/>
        <v>6.4423525400275938</v>
      </c>
    </row>
    <row r="54" spans="1:19" x14ac:dyDescent="0.35">
      <c r="I54" s="1">
        <v>52</v>
      </c>
      <c r="J54" s="12">
        <f t="shared" si="9"/>
        <v>333.33333333333326</v>
      </c>
      <c r="K54" s="6">
        <f>'BeamMap2 Series Choice'!$G$4*(SQRT(1+((J54)^2/'BeamMap2 Series Choice'!$G$6^2)))</f>
        <v>33.061290369230186</v>
      </c>
      <c r="L54" s="1">
        <f t="shared" si="10"/>
        <v>-16.530645184615093</v>
      </c>
      <c r="M54" s="1">
        <f t="shared" si="11"/>
        <v>16.530645184615093</v>
      </c>
      <c r="N54" s="1">
        <f>'BeamMap2 Series Choice'!$G$4*(SQRT(1+((J54)^2/($F$9)^2)))</f>
        <v>125.3993620398445</v>
      </c>
      <c r="O54" s="1">
        <f t="shared" si="5"/>
        <v>-62.699681019922252</v>
      </c>
      <c r="P54" s="1">
        <f t="shared" si="6"/>
        <v>62.699681019922252</v>
      </c>
      <c r="Q54">
        <f>'BeamMap2 Series Choice'!$G$4*(SQRT(1+((J54)^2/($F$10)^2)))</f>
        <v>13.017082793177757</v>
      </c>
      <c r="R54" s="1">
        <f t="shared" si="7"/>
        <v>-6.5085413965888783</v>
      </c>
      <c r="S54" s="1">
        <f t="shared" si="8"/>
        <v>6.5085413965888783</v>
      </c>
    </row>
    <row r="55" spans="1:19" x14ac:dyDescent="0.35">
      <c r="I55" s="1">
        <v>53</v>
      </c>
      <c r="J55" s="12">
        <f t="shared" si="9"/>
        <v>341.66666666666657</v>
      </c>
      <c r="K55" s="6">
        <f>'BeamMap2 Series Choice'!$G$4*(SQRT(1+((J55)^2/'BeamMap2 Series Choice'!$G$6^2)))</f>
        <v>33.813045152692609</v>
      </c>
      <c r="L55" s="1">
        <f t="shared" si="10"/>
        <v>-16.906522576346305</v>
      </c>
      <c r="M55" s="1">
        <f t="shared" si="11"/>
        <v>16.906522576346305</v>
      </c>
      <c r="N55" s="1">
        <f>'BeamMap2 Series Choice'!$G$4*(SQRT(1+((J55)^2/($F$9)^2)))</f>
        <v>128.5146514020872</v>
      </c>
      <c r="O55" s="1">
        <f t="shared" si="5"/>
        <v>-64.257325701043598</v>
      </c>
      <c r="P55" s="1">
        <f t="shared" si="6"/>
        <v>64.257325701043598</v>
      </c>
      <c r="Q55">
        <f>'BeamMap2 Series Choice'!$G$4*(SQRT(1+((J55)^2/($F$10)^2)))</f>
        <v>13.151428418405525</v>
      </c>
      <c r="R55" s="1">
        <f t="shared" si="7"/>
        <v>-6.5757142092027623</v>
      </c>
      <c r="S55" s="1">
        <f t="shared" si="8"/>
        <v>6.5757142092027623</v>
      </c>
    </row>
    <row r="56" spans="1:19" x14ac:dyDescent="0.35">
      <c r="I56" s="1">
        <v>54</v>
      </c>
      <c r="J56" s="12">
        <f t="shared" si="9"/>
        <v>349.99999999999989</v>
      </c>
      <c r="K56" s="6">
        <f>'BeamMap2 Series Choice'!$G$4*(SQRT(1+((J56)^2/'BeamMap2 Series Choice'!$G$6^2)))</f>
        <v>34.5664061665167</v>
      </c>
      <c r="L56" s="1">
        <f t="shared" si="10"/>
        <v>-17.28320308325835</v>
      </c>
      <c r="M56" s="1">
        <f t="shared" si="11"/>
        <v>17.28320308325835</v>
      </c>
      <c r="N56" s="1">
        <f>'BeamMap2 Series Choice'!$G$4*(SQRT(1+((J56)^2/($F$9)^2)))</f>
        <v>131.63040112375253</v>
      </c>
      <c r="O56" s="1">
        <f t="shared" si="5"/>
        <v>-65.815200561876267</v>
      </c>
      <c r="P56" s="1">
        <f t="shared" si="6"/>
        <v>65.815200561876267</v>
      </c>
      <c r="Q56">
        <f>'BeamMap2 Series Choice'!$G$4*(SQRT(1+((J56)^2/($F$10)^2)))</f>
        <v>13.28768226591831</v>
      </c>
      <c r="R56" s="1">
        <f t="shared" si="7"/>
        <v>-6.6438411329591549</v>
      </c>
      <c r="S56" s="1">
        <f t="shared" si="8"/>
        <v>6.6438411329591549</v>
      </c>
    </row>
    <row r="57" spans="1:19" x14ac:dyDescent="0.35">
      <c r="I57" s="1">
        <v>55</v>
      </c>
      <c r="J57" s="12">
        <f t="shared" si="9"/>
        <v>358.3333333333332</v>
      </c>
      <c r="K57" s="6">
        <f>'BeamMap2 Series Choice'!$G$4*(SQRT(1+((J57)^2/'BeamMap2 Series Choice'!$G$6^2)))</f>
        <v>35.321270633858525</v>
      </c>
      <c r="L57" s="1">
        <f t="shared" si="10"/>
        <v>-17.660635316929262</v>
      </c>
      <c r="M57" s="1">
        <f t="shared" si="11"/>
        <v>17.660635316929262</v>
      </c>
      <c r="N57" s="1">
        <f>'BeamMap2 Series Choice'!$G$4*(SQRT(1+((J57)^2/($F$9)^2)))</f>
        <v>134.74657927012464</v>
      </c>
      <c r="O57" s="1">
        <f t="shared" si="5"/>
        <v>-67.373289635062321</v>
      </c>
      <c r="P57" s="1">
        <f t="shared" si="6"/>
        <v>67.373289635062321</v>
      </c>
      <c r="Q57">
        <f>'BeamMap2 Series Choice'!$G$4*(SQRT(1+((J57)^2/($F$10)^2)))</f>
        <v>13.42578623809835</v>
      </c>
      <c r="R57" s="1">
        <f t="shared" si="7"/>
        <v>-6.7128931190491752</v>
      </c>
      <c r="S57" s="1">
        <f t="shared" si="8"/>
        <v>6.7128931190491752</v>
      </c>
    </row>
    <row r="58" spans="1:19" x14ac:dyDescent="0.35">
      <c r="I58" s="1">
        <v>56</v>
      </c>
      <c r="J58" s="12">
        <f t="shared" si="9"/>
        <v>366.66666666666652</v>
      </c>
      <c r="K58" s="6">
        <f>'BeamMap2 Series Choice'!$G$4*(SQRT(1+((J58)^2/'BeamMap2 Series Choice'!$G$6^2)))</f>
        <v>36.077544182816098</v>
      </c>
      <c r="L58" s="1">
        <f t="shared" si="10"/>
        <v>-18.038772091408049</v>
      </c>
      <c r="M58" s="1">
        <f t="shared" si="11"/>
        <v>18.038772091408049</v>
      </c>
      <c r="N58" s="1">
        <f>'BeamMap2 Series Choice'!$G$4*(SQRT(1+((J58)^2/($F$9)^2)))</f>
        <v>137.86315678962228</v>
      </c>
      <c r="O58" s="1">
        <f t="shared" si="5"/>
        <v>-68.93157839481114</v>
      </c>
      <c r="P58" s="1">
        <f t="shared" si="6"/>
        <v>68.93157839481114</v>
      </c>
      <c r="Q58">
        <f>'BeamMap2 Series Choice'!$G$4*(SQRT(1+((J58)^2/($F$10)^2)))</f>
        <v>13.565683830083087</v>
      </c>
      <c r="R58" s="1">
        <f t="shared" si="7"/>
        <v>-6.7828419150415433</v>
      </c>
      <c r="S58" s="1">
        <f t="shared" si="8"/>
        <v>6.7828419150415433</v>
      </c>
    </row>
    <row r="59" spans="1:19" x14ac:dyDescent="0.35">
      <c r="I59" s="1">
        <v>57</v>
      </c>
      <c r="J59" s="12">
        <f t="shared" si="9"/>
        <v>374.99999999999983</v>
      </c>
      <c r="K59" s="6">
        <f>'BeamMap2 Series Choice'!$G$4*(SQRT(1+((J59)^2/'BeamMap2 Series Choice'!$G$6^2)))</f>
        <v>36.83514002263216</v>
      </c>
      <c r="L59" s="1">
        <f t="shared" si="10"/>
        <v>-18.41757001131608</v>
      </c>
      <c r="M59" s="1">
        <f t="shared" si="11"/>
        <v>18.41757001131608</v>
      </c>
      <c r="N59" s="1">
        <f>'BeamMap2 Series Choice'!$G$4*(SQRT(1+((J59)^2/($F$9)^2)))</f>
        <v>140.98010719601535</v>
      </c>
      <c r="O59" s="1">
        <f t="shared" si="5"/>
        <v>-70.490053598007677</v>
      </c>
      <c r="P59" s="1">
        <f t="shared" si="6"/>
        <v>70.490053598007677</v>
      </c>
      <c r="Q59">
        <f>'BeamMap2 Series Choice'!$G$4*(SQRT(1+((J59)^2/($F$10)^2)))</f>
        <v>13.707320124663315</v>
      </c>
      <c r="R59" s="1">
        <f t="shared" si="7"/>
        <v>-6.8536600623316577</v>
      </c>
      <c r="S59" s="1">
        <f t="shared" si="8"/>
        <v>6.8536600623316577</v>
      </c>
    </row>
    <row r="60" spans="1:19" x14ac:dyDescent="0.35">
      <c r="I60" s="1">
        <v>58</v>
      </c>
      <c r="J60" s="12">
        <f t="shared" si="9"/>
        <v>383.33333333333314</v>
      </c>
      <c r="K60" s="6">
        <f>'BeamMap2 Series Choice'!$G$4*(SQRT(1+((J60)^2/'BeamMap2 Series Choice'!$G$6^2)))</f>
        <v>37.593978212765471</v>
      </c>
      <c r="L60" s="1">
        <f t="shared" si="10"/>
        <v>-18.796989106382735</v>
      </c>
      <c r="M60" s="1">
        <f t="shared" si="11"/>
        <v>18.796989106382735</v>
      </c>
      <c r="N60" s="1">
        <f>'BeamMap2 Series Choice'!$G$4*(SQRT(1+((J60)^2/($F$9)^2)))</f>
        <v>144.09740629171634</v>
      </c>
      <c r="O60" s="1">
        <f t="shared" si="5"/>
        <v>-72.04870314585817</v>
      </c>
      <c r="P60" s="1">
        <f t="shared" si="6"/>
        <v>72.04870314585817</v>
      </c>
      <c r="Q60">
        <f>'BeamMap2 Series Choice'!$G$4*(SQRT(1+((J60)^2/($F$10)^2)))</f>
        <v>13.850641782162214</v>
      </c>
      <c r="R60" s="1">
        <f t="shared" si="7"/>
        <v>-6.9253208910811068</v>
      </c>
      <c r="S60" s="1">
        <f t="shared" si="8"/>
        <v>6.9253208910811068</v>
      </c>
    </row>
    <row r="61" spans="1:19" x14ac:dyDescent="0.35">
      <c r="I61" s="1">
        <v>59</v>
      </c>
      <c r="J61" s="12">
        <f t="shared" si="9"/>
        <v>391.66666666666646</v>
      </c>
      <c r="K61" s="6">
        <f>'BeamMap2 Series Choice'!$G$4*(SQRT(1+((J61)^2/'BeamMap2 Series Choice'!$G$6^2)))</f>
        <v>38.353985013137169</v>
      </c>
      <c r="L61" s="1">
        <f t="shared" si="10"/>
        <v>-19.176992506568585</v>
      </c>
      <c r="M61" s="1">
        <f t="shared" si="11"/>
        <v>19.176992506568585</v>
      </c>
      <c r="N61" s="1">
        <f>'BeamMap2 Series Choice'!$G$4*(SQRT(1+((J61)^2/($F$9)^2)))</f>
        <v>147.21503192609094</v>
      </c>
      <c r="O61" s="1">
        <f t="shared" si="5"/>
        <v>-73.607515963045472</v>
      </c>
      <c r="P61" s="1">
        <f t="shared" si="6"/>
        <v>73.607515963045472</v>
      </c>
      <c r="Q61">
        <f>'BeamMap2 Series Choice'!$G$4*(SQRT(1+((J61)^2/($F$10)^2)))</f>
        <v>13.995597025890357</v>
      </c>
      <c r="R61" s="1">
        <f t="shared" si="7"/>
        <v>-6.9977985129451783</v>
      </c>
      <c r="S61" s="1">
        <f t="shared" si="8"/>
        <v>6.9977985129451783</v>
      </c>
    </row>
    <row r="62" spans="1:19" x14ac:dyDescent="0.35">
      <c r="I62" s="1">
        <v>60</v>
      </c>
      <c r="J62" s="12">
        <f t="shared" si="9"/>
        <v>399.99999999999977</v>
      </c>
      <c r="K62" s="6">
        <f>'BeamMap2 Series Choice'!$G$4*(SQRT(1+((J62)^2/'BeamMap2 Series Choice'!$G$6^2)))</f>
        <v>39.115092305465865</v>
      </c>
      <c r="L62" s="1">
        <f t="shared" si="10"/>
        <v>-19.557546152732932</v>
      </c>
      <c r="M62" s="1">
        <f t="shared" si="11"/>
        <v>19.557546152732932</v>
      </c>
      <c r="N62" s="1">
        <f>'BeamMap2 Series Choice'!$G$4*(SQRT(1+((J62)^2/($F$9)^2)))</f>
        <v>150.33296378372899</v>
      </c>
      <c r="O62" s="1">
        <f t="shared" si="5"/>
        <v>-75.166481891864493</v>
      </c>
      <c r="P62" s="1">
        <f t="shared" si="6"/>
        <v>75.166481891864493</v>
      </c>
      <c r="Q62">
        <f>'BeamMap2 Series Choice'!$G$4*(SQRT(1+((J62)^2/($F$10)^2)))</f>
        <v>14.142135623730947</v>
      </c>
      <c r="R62" s="1">
        <f t="shared" si="7"/>
        <v>-7.0710678118654737</v>
      </c>
      <c r="S62" s="1">
        <f t="shared" si="8"/>
        <v>7.0710678118654737</v>
      </c>
    </row>
  </sheetData>
  <sheetProtection sheet="1" objects="1" scenarios="1"/>
  <mergeCells count="3">
    <mergeCell ref="L1:M1"/>
    <mergeCell ref="O1:P1"/>
    <mergeCell ref="R1:S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BeamMap2 Series Choice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Jones</dc:creator>
  <cp:lastModifiedBy>Loren Jones</cp:lastModifiedBy>
  <dcterms:created xsi:type="dcterms:W3CDTF">2018-10-24T17:37:47Z</dcterms:created>
  <dcterms:modified xsi:type="dcterms:W3CDTF">2019-08-29T20:14:02Z</dcterms:modified>
</cp:coreProperties>
</file>